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A481EE85-97CE-46FC-85AD-9687045A70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2112022 - Newcastl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22112022 - Newcastle'!$A$7:$S$25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I29" i="1"/>
  <c r="J29" i="1" s="1"/>
  <c r="K29" i="1" s="1"/>
  <c r="L29" i="1" s="1"/>
  <c r="H35" i="1"/>
  <c r="I35" i="1"/>
  <c r="J35" i="1" s="1"/>
  <c r="K35" i="1" s="1"/>
  <c r="L35" i="1" s="1"/>
  <c r="H31" i="1"/>
  <c r="I31" i="1"/>
  <c r="J31" i="1" s="1"/>
  <c r="K31" i="1" s="1"/>
  <c r="L31" i="1" s="1"/>
  <c r="H32" i="1"/>
  <c r="I32" i="1"/>
  <c r="J32" i="1" s="1"/>
  <c r="K32" i="1" s="1"/>
  <c r="L32" i="1" s="1"/>
  <c r="H34" i="1"/>
  <c r="I34" i="1"/>
  <c r="J34" i="1" s="1"/>
  <c r="K34" i="1" s="1"/>
  <c r="L34" i="1" s="1"/>
  <c r="H27" i="1"/>
  <c r="I27" i="1"/>
  <c r="J27" i="1" s="1"/>
  <c r="K27" i="1" s="1"/>
  <c r="L27" i="1" s="1"/>
  <c r="H28" i="1"/>
  <c r="I28" i="1"/>
  <c r="J28" i="1" s="1"/>
  <c r="K28" i="1" s="1"/>
  <c r="L28" i="1" s="1"/>
  <c r="H30" i="1"/>
  <c r="I30" i="1"/>
  <c r="J30" i="1" s="1"/>
  <c r="K30" i="1" s="1"/>
  <c r="L30" i="1" s="1"/>
  <c r="H37" i="1"/>
  <c r="I37" i="1"/>
  <c r="J37" i="1" s="1"/>
  <c r="K37" i="1" s="1"/>
  <c r="L37" i="1" s="1"/>
  <c r="H33" i="1"/>
  <c r="I33" i="1"/>
  <c r="J33" i="1" s="1"/>
  <c r="K33" i="1" s="1"/>
  <c r="L33" i="1" s="1"/>
  <c r="H36" i="1"/>
  <c r="I36" i="1"/>
  <c r="J36" i="1" s="1"/>
  <c r="K36" i="1" s="1"/>
  <c r="L36" i="1" s="1"/>
  <c r="H9" i="1"/>
  <c r="I9" i="1"/>
  <c r="J9" i="1" s="1"/>
  <c r="K9" i="1" s="1"/>
  <c r="L9" i="1" s="1"/>
  <c r="H10" i="1"/>
  <c r="I10" i="1"/>
  <c r="J10" i="1" s="1"/>
  <c r="K10" i="1" s="1"/>
  <c r="L10" i="1" s="1"/>
  <c r="H12" i="1"/>
  <c r="I12" i="1"/>
  <c r="J12" i="1" s="1"/>
  <c r="K12" i="1" s="1"/>
  <c r="L12" i="1" s="1"/>
  <c r="H11" i="1"/>
  <c r="I11" i="1"/>
  <c r="J11" i="1" s="1"/>
  <c r="K11" i="1" s="1"/>
  <c r="L11" i="1" s="1"/>
  <c r="H8" i="1"/>
  <c r="I8" i="1"/>
  <c r="J8" i="1" s="1"/>
  <c r="K8" i="1" s="1"/>
  <c r="L8" i="1" s="1"/>
  <c r="H13" i="1"/>
  <c r="I13" i="1"/>
  <c r="J13" i="1" s="1"/>
  <c r="K13" i="1" s="1"/>
  <c r="L13" i="1" s="1"/>
  <c r="H24" i="1"/>
  <c r="I24" i="1"/>
  <c r="J24" i="1" s="1"/>
  <c r="K24" i="1" s="1"/>
  <c r="L24" i="1" s="1"/>
  <c r="H17" i="1"/>
  <c r="I17" i="1"/>
  <c r="J17" i="1" s="1"/>
  <c r="K17" i="1" s="1"/>
  <c r="L17" i="1" s="1"/>
  <c r="H15" i="1"/>
  <c r="I15" i="1"/>
  <c r="J15" i="1" s="1"/>
  <c r="K15" i="1" s="1"/>
  <c r="L15" i="1" s="1"/>
  <c r="H16" i="1"/>
  <c r="I16" i="1"/>
  <c r="J16" i="1" s="1"/>
  <c r="K16" i="1" s="1"/>
  <c r="L16" i="1" s="1"/>
  <c r="H25" i="1"/>
  <c r="I25" i="1"/>
  <c r="J25" i="1" s="1"/>
  <c r="K25" i="1" s="1"/>
  <c r="L25" i="1" s="1"/>
  <c r="H21" i="1"/>
  <c r="I21" i="1"/>
  <c r="J21" i="1" s="1"/>
  <c r="K21" i="1" s="1"/>
  <c r="L21" i="1" s="1"/>
  <c r="H18" i="1"/>
  <c r="I18" i="1"/>
  <c r="J18" i="1" s="1"/>
  <c r="K18" i="1" s="1"/>
  <c r="L18" i="1" s="1"/>
  <c r="H23" i="1"/>
  <c r="I23" i="1"/>
  <c r="J23" i="1" s="1"/>
  <c r="K23" i="1" s="1"/>
  <c r="L23" i="1" s="1"/>
  <c r="H19" i="1"/>
  <c r="I19" i="1"/>
  <c r="J19" i="1" s="1"/>
  <c r="K19" i="1" s="1"/>
  <c r="L19" i="1" s="1"/>
  <c r="H22" i="1"/>
  <c r="I22" i="1"/>
  <c r="J22" i="1" s="1"/>
  <c r="K22" i="1" s="1"/>
  <c r="L22" i="1" s="1"/>
  <c r="H20" i="1"/>
  <c r="I20" i="1"/>
  <c r="J20" i="1" s="1"/>
  <c r="K20" i="1" s="1"/>
  <c r="L20" i="1" s="1"/>
  <c r="M31" i="1" l="1"/>
  <c r="N31" i="1" s="1"/>
  <c r="O31" i="1" s="1"/>
  <c r="P31" i="1" s="1"/>
  <c r="M27" i="1"/>
  <c r="N27" i="1" s="1"/>
  <c r="O27" i="1" s="1"/>
  <c r="P27" i="1" s="1"/>
  <c r="M35" i="1"/>
  <c r="N35" i="1" s="1"/>
  <c r="O35" i="1" s="1"/>
  <c r="P35" i="1" s="1"/>
  <c r="M34" i="1"/>
  <c r="N34" i="1" s="1"/>
  <c r="O34" i="1" s="1"/>
  <c r="P34" i="1" s="1"/>
  <c r="M37" i="1"/>
  <c r="N37" i="1" s="1"/>
  <c r="O37" i="1" s="1"/>
  <c r="P37" i="1" s="1"/>
  <c r="M36" i="1"/>
  <c r="N36" i="1" s="1"/>
  <c r="O36" i="1" s="1"/>
  <c r="P36" i="1" s="1"/>
  <c r="M29" i="1"/>
  <c r="N29" i="1" s="1"/>
  <c r="O29" i="1" s="1"/>
  <c r="P29" i="1" s="1"/>
  <c r="M30" i="1"/>
  <c r="N30" i="1" s="1"/>
  <c r="O30" i="1" s="1"/>
  <c r="P30" i="1" s="1"/>
  <c r="M33" i="1"/>
  <c r="N33" i="1" s="1"/>
  <c r="O33" i="1" s="1"/>
  <c r="P33" i="1" s="1"/>
  <c r="M32" i="1"/>
  <c r="N32" i="1" s="1"/>
  <c r="O32" i="1" s="1"/>
  <c r="P32" i="1" s="1"/>
  <c r="M28" i="1"/>
  <c r="N28" i="1" s="1"/>
  <c r="O28" i="1" s="1"/>
  <c r="P28" i="1" s="1"/>
  <c r="M25" i="1"/>
  <c r="N25" i="1" s="1"/>
  <c r="O25" i="1" s="1"/>
  <c r="P25" i="1" s="1"/>
  <c r="M15" i="1"/>
  <c r="N15" i="1" s="1"/>
  <c r="O15" i="1" s="1"/>
  <c r="P15" i="1" s="1"/>
  <c r="M17" i="1"/>
  <c r="N17" i="1" s="1"/>
  <c r="O17" i="1" s="1"/>
  <c r="P17" i="1" s="1"/>
  <c r="M16" i="1"/>
  <c r="N16" i="1" s="1"/>
  <c r="O16" i="1" s="1"/>
  <c r="P16" i="1" s="1"/>
  <c r="M21" i="1"/>
  <c r="N21" i="1" s="1"/>
  <c r="O21" i="1" s="1"/>
  <c r="P21" i="1" s="1"/>
  <c r="M24" i="1"/>
  <c r="N24" i="1" s="1"/>
  <c r="O24" i="1" s="1"/>
  <c r="P24" i="1" s="1"/>
  <c r="M9" i="1"/>
  <c r="N9" i="1" s="1"/>
  <c r="O9" i="1" s="1"/>
  <c r="P9" i="1" s="1"/>
  <c r="M11" i="1"/>
  <c r="N11" i="1" s="1"/>
  <c r="O11" i="1" s="1"/>
  <c r="P11" i="1" s="1"/>
  <c r="M12" i="1"/>
  <c r="N12" i="1" s="1"/>
  <c r="O12" i="1" s="1"/>
  <c r="P12" i="1" s="1"/>
  <c r="M13" i="1"/>
  <c r="N13" i="1" s="1"/>
  <c r="O13" i="1" s="1"/>
  <c r="P13" i="1" s="1"/>
  <c r="M10" i="1"/>
  <c r="N10" i="1" s="1"/>
  <c r="O10" i="1" s="1"/>
  <c r="P10" i="1" s="1"/>
  <c r="M8" i="1"/>
  <c r="N8" i="1" s="1"/>
  <c r="O8" i="1" s="1"/>
  <c r="P8" i="1" s="1"/>
  <c r="M23" i="1"/>
  <c r="N23" i="1" s="1"/>
  <c r="O23" i="1" s="1"/>
  <c r="P23" i="1" s="1"/>
  <c r="M20" i="1"/>
  <c r="N20" i="1" s="1"/>
  <c r="O20" i="1" s="1"/>
  <c r="P20" i="1" s="1"/>
  <c r="M18" i="1"/>
  <c r="N18" i="1" s="1"/>
  <c r="O18" i="1" s="1"/>
  <c r="P18" i="1" s="1"/>
  <c r="M22" i="1"/>
  <c r="N22" i="1" s="1"/>
  <c r="O22" i="1" s="1"/>
  <c r="P22" i="1" s="1"/>
  <c r="M19" i="1"/>
  <c r="N19" i="1" s="1"/>
  <c r="O19" i="1" s="1"/>
  <c r="P19" i="1" s="1"/>
  <c r="Q29" i="1" l="1"/>
  <c r="R29" i="1" s="1"/>
  <c r="S29" i="1" s="1"/>
  <c r="Q34" i="1"/>
  <c r="R34" i="1" s="1"/>
  <c r="S34" i="1" s="1"/>
  <c r="Q37" i="1"/>
  <c r="R37" i="1" s="1"/>
  <c r="S37" i="1" s="1"/>
  <c r="Q27" i="1"/>
  <c r="R27" i="1" s="1"/>
  <c r="S27" i="1" s="1"/>
  <c r="Q35" i="1"/>
  <c r="R35" i="1" s="1"/>
  <c r="S35" i="1" s="1"/>
  <c r="Q31" i="1"/>
  <c r="R31" i="1" s="1"/>
  <c r="S31" i="1" s="1"/>
  <c r="Q28" i="1"/>
  <c r="R28" i="1" s="1"/>
  <c r="S28" i="1" s="1"/>
  <c r="Q32" i="1"/>
  <c r="R32" i="1" s="1"/>
  <c r="S32" i="1" s="1"/>
  <c r="Q30" i="1"/>
  <c r="R30" i="1" s="1"/>
  <c r="S30" i="1" s="1"/>
  <c r="Q36" i="1"/>
  <c r="R36" i="1" s="1"/>
  <c r="S36" i="1" s="1"/>
  <c r="Q33" i="1"/>
  <c r="R33" i="1" s="1"/>
  <c r="S33" i="1" s="1"/>
  <c r="Q12" i="1"/>
  <c r="R12" i="1" s="1"/>
  <c r="S12" i="1" s="1"/>
  <c r="Q21" i="1"/>
  <c r="R21" i="1" s="1"/>
  <c r="S21" i="1" s="1"/>
  <c r="Q18" i="1"/>
  <c r="R18" i="1" s="1"/>
  <c r="S18" i="1" s="1"/>
  <c r="Q10" i="1"/>
  <c r="R10" i="1" s="1"/>
  <c r="S10" i="1" s="1"/>
  <c r="Q8" i="1"/>
  <c r="R8" i="1" s="1"/>
  <c r="S8" i="1" s="1"/>
  <c r="Q23" i="1"/>
  <c r="R23" i="1" s="1"/>
  <c r="S23" i="1" s="1"/>
  <c r="Q20" i="1"/>
  <c r="R20" i="1" s="1"/>
  <c r="S20" i="1" s="1"/>
  <c r="Q9" i="1"/>
  <c r="R9" i="1" s="1"/>
  <c r="S9" i="1" s="1"/>
  <c r="Q17" i="1"/>
  <c r="R17" i="1" s="1"/>
  <c r="S17" i="1" s="1"/>
  <c r="Q11" i="1"/>
  <c r="R11" i="1" s="1"/>
  <c r="S11" i="1" s="1"/>
  <c r="Q19" i="1"/>
  <c r="R19" i="1" s="1"/>
  <c r="S19" i="1" s="1"/>
  <c r="Q25" i="1"/>
  <c r="R25" i="1" s="1"/>
  <c r="S25" i="1" s="1"/>
  <c r="Q16" i="1"/>
  <c r="R16" i="1" s="1"/>
  <c r="S16" i="1" s="1"/>
  <c r="Q13" i="1"/>
  <c r="R13" i="1" s="1"/>
  <c r="S13" i="1" s="1"/>
  <c r="Q22" i="1"/>
  <c r="R22" i="1" s="1"/>
  <c r="S22" i="1" s="1"/>
  <c r="Q15" i="1"/>
  <c r="R15" i="1" s="1"/>
  <c r="S15" i="1" s="1"/>
  <c r="Q24" i="1"/>
  <c r="R24" i="1" s="1"/>
  <c r="S24" i="1" s="1"/>
</calcChain>
</file>

<file path=xl/sharedStrings.xml><?xml version="1.0" encoding="utf-8"?>
<sst xmlns="http://schemas.openxmlformats.org/spreadsheetml/2006/main" count="75" uniqueCount="48">
  <si>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</si>
  <si>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</si>
  <si>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</si>
  <si>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</si>
  <si>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</si>
  <si>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</si>
  <si>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</si>
  <si>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</si>
  <si>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</si>
  <si>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</si>
  <si>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</si>
  <si>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</si>
  <si>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</si>
  <si>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</si>
  <si>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</si>
  <si>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</si>
  <si>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</si>
  <si>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</si>
  <si>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</si>
  <si>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Island Lass         </t>
  </si>
  <si>
    <t xml:space="preserve">Milingimbi          </t>
  </si>
  <si>
    <t xml:space="preserve">Capital Gamble      </t>
  </si>
  <si>
    <t xml:space="preserve">Wannawinwin         </t>
  </si>
  <si>
    <t xml:space="preserve">Ideel Girl          </t>
  </si>
  <si>
    <t xml:space="preserve">Nevada Smoke        </t>
  </si>
  <si>
    <t xml:space="preserve">The Fossil          </t>
  </si>
  <si>
    <t xml:space="preserve">Trumpster           </t>
  </si>
  <si>
    <t xml:space="preserve">Boss                </t>
  </si>
  <si>
    <t xml:space="preserve">Bonjour Rupert      </t>
  </si>
  <si>
    <t xml:space="preserve">Luminoso            </t>
  </si>
  <si>
    <t xml:space="preserve">Shreve              </t>
  </si>
  <si>
    <t xml:space="preserve">Nicator             </t>
  </si>
  <si>
    <t xml:space="preserve">Spanish Missile     </t>
  </si>
  <si>
    <t xml:space="preserve">The Lion            </t>
  </si>
  <si>
    <t xml:space="preserve">Timperley           </t>
  </si>
  <si>
    <t xml:space="preserve">Ruby Factor         </t>
  </si>
  <si>
    <t xml:space="preserve">Hemsted             </t>
  </si>
  <si>
    <t xml:space="preserve">Important Product   </t>
  </si>
  <si>
    <t xml:space="preserve">Ficsmm Dave         </t>
  </si>
  <si>
    <t xml:space="preserve">Volterra            </t>
  </si>
  <si>
    <t xml:space="preserve">Barrys Lane         </t>
  </si>
  <si>
    <t xml:space="preserve">Timerox             </t>
  </si>
  <si>
    <t xml:space="preserve">Watch Me Rumble     </t>
  </si>
  <si>
    <t xml:space="preserve">Wonfontein          </t>
  </si>
  <si>
    <t xml:space="preserve">Lucky Jackson       </t>
  </si>
  <si>
    <t xml:space="preserve">Stormy Pluck        </t>
  </si>
  <si>
    <t xml:space="preserve">Dragoneight         </t>
  </si>
  <si>
    <t>Newcastle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</si>
</sst>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6</xdr:row>
      <xdr:rowOff>11989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5F9AA0-A48A-B5A1-012D-164CA0A7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65620" cy="1109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37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25" sqref="F25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23.77734375" style="9" customWidth="1"/>
    <col min="4" max="4" width="5.88671875" style="9" bestFit="1" customWidth="1"/>
    <col min="5" max="5" width="5.6640625" style="9" bestFit="1" customWidth="1"/>
    <col min="6" max="6" width="24.77734375" style="9" bestFit="1" customWidth="1"/>
    <col min="7" max="7" width="9.109375" style="10" bestFit="1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</v>
      </c>
      <c r="B8" s="5">
        <v>0.60069444444444442</v>
      </c>
      <c r="C8" s="1" t="s">
        <v>47</v>
      </c>
      <c r="D8" s="1">
        <v>1</v>
      </c>
      <c r="E8" s="1">
        <v>5</v>
      </c>
      <c r="F8" s="1" t="s">
        <v>23</v>
      </c>
      <c r="G8" s="1">
        <v>64.010000000000005</v>
      </c>
      <c r="H8" s="1">
        <f>1+COUNTIFS(A:A,A8,G:G,"&gt;"&amp;G8)</f>
        <v>1</v>
      </c>
      <c r="I8" s="2">
        <f>AVERAGEIF(A:A,A8,G:G)</f>
        <v>49.530000000000008</v>
      </c>
      <c r="J8" s="2">
        <f t="shared" ref="J8:J13" si="0">G8-I8</f>
        <v>14.479999999999997</v>
      </c>
      <c r="K8" s="2">
        <f t="shared" ref="K8:K13" si="1">90+J8</f>
        <v>104.47999999999999</v>
      </c>
      <c r="L8" s="2">
        <f t="shared" ref="L8:L13" si="2">EXP(0.06*K8)</f>
        <v>527.84358537578987</v>
      </c>
      <c r="M8" s="2">
        <f>SUMIF(A:A,A8,L:L)</f>
        <v>1717.3212759895507</v>
      </c>
      <c r="N8" s="3">
        <f t="shared" ref="N8:N13" si="3">L8/M8</f>
        <v>0.30736449420137596</v>
      </c>
      <c r="O8" s="6">
        <f t="shared" ref="O8:O13" si="4">1/N8</f>
        <v>3.2534662228905011</v>
      </c>
      <c r="P8" s="3">
        <f t="shared" ref="P8:P13" si="5">IF(O8&gt;21,"",N8)</f>
        <v>0.30736449420137596</v>
      </c>
      <c r="Q8" s="3">
        <f>IF(ISNUMBER(P8),SUMIF(A:A,A8,P:P),"")</f>
        <v>0.9656832243415796</v>
      </c>
      <c r="R8" s="3">
        <f t="shared" ref="R8:R13" si="6">IFERROR(P8*(1/Q8),"")</f>
        <v>0.31828708053921373</v>
      </c>
      <c r="S8" s="7">
        <f t="shared" ref="S8:S13" si="7">IFERROR(1/R8,"")</f>
        <v>3.1418177524073196</v>
      </c>
    </row>
    <row r="9" spans="1:19" x14ac:dyDescent="0.3">
      <c r="A9" s="1">
        <v>2</v>
      </c>
      <c r="B9" s="5">
        <v>0.60069444444444442</v>
      </c>
      <c r="C9" s="1" t="s">
        <v>47</v>
      </c>
      <c r="D9" s="1">
        <v>1</v>
      </c>
      <c r="E9" s="1">
        <v>1</v>
      </c>
      <c r="F9" s="1" t="s">
        <v>19</v>
      </c>
      <c r="G9" s="1">
        <v>60.67</v>
      </c>
      <c r="H9" s="1">
        <f>1+COUNTIFS(A:A,A9,G:G,"&gt;"&amp;G9)</f>
        <v>2</v>
      </c>
      <c r="I9" s="2">
        <f>AVERAGEIF(A:A,A9,G:G)</f>
        <v>49.530000000000008</v>
      </c>
      <c r="J9" s="2">
        <f t="shared" si="0"/>
        <v>11.139999999999993</v>
      </c>
      <c r="K9" s="2">
        <f t="shared" si="1"/>
        <v>101.13999999999999</v>
      </c>
      <c r="L9" s="2">
        <f t="shared" si="2"/>
        <v>431.98894601997034</v>
      </c>
      <c r="M9" s="2">
        <f>SUMIF(A:A,A9,L:L)</f>
        <v>1717.3212759895507</v>
      </c>
      <c r="N9" s="3">
        <f t="shared" si="3"/>
        <v>0.25154812443061986</v>
      </c>
      <c r="O9" s="6">
        <f t="shared" si="4"/>
        <v>3.9753824532124971</v>
      </c>
      <c r="P9" s="3">
        <f t="shared" si="5"/>
        <v>0.25154812443061986</v>
      </c>
      <c r="Q9" s="3">
        <f>IF(ISNUMBER(P9),SUMIF(A:A,A9,P:P),"")</f>
        <v>0.9656832243415796</v>
      </c>
      <c r="R9" s="3">
        <f t="shared" si="6"/>
        <v>0.26048720542093906</v>
      </c>
      <c r="S9" s="7">
        <f t="shared" si="7"/>
        <v>3.8389601454091831</v>
      </c>
    </row>
    <row r="10" spans="1:19" x14ac:dyDescent="0.3">
      <c r="A10" s="1">
        <v>2</v>
      </c>
      <c r="B10" s="5">
        <v>0.60069444444444442</v>
      </c>
      <c r="C10" s="1" t="s">
        <v>47</v>
      </c>
      <c r="D10" s="1">
        <v>1</v>
      </c>
      <c r="E10" s="1">
        <v>2</v>
      </c>
      <c r="F10" s="1" t="s">
        <v>20</v>
      </c>
      <c r="G10" s="1">
        <v>57.67</v>
      </c>
      <c r="H10" s="1">
        <f>1+COUNTIFS(A:A,A10,G:G,"&gt;"&amp;G10)</f>
        <v>3</v>
      </c>
      <c r="I10" s="2">
        <f>AVERAGEIF(A:A,A10,G:G)</f>
        <v>49.530000000000008</v>
      </c>
      <c r="J10" s="2">
        <f t="shared" si="0"/>
        <v>8.1399999999999935</v>
      </c>
      <c r="K10" s="2">
        <f t="shared" si="1"/>
        <v>98.139999999999986</v>
      </c>
      <c r="L10" s="2">
        <f t="shared" si="2"/>
        <v>360.82749826943331</v>
      </c>
      <c r="M10" s="2">
        <f>SUMIF(A:A,A10,L:L)</f>
        <v>1717.3212759895507</v>
      </c>
      <c r="N10" s="3">
        <f t="shared" si="3"/>
        <v>0.21011065507327287</v>
      </c>
      <c r="O10" s="6">
        <f t="shared" si="4"/>
        <v>4.759396898035777</v>
      </c>
      <c r="P10" s="3">
        <f t="shared" si="5"/>
        <v>0.21011065507327287</v>
      </c>
      <c r="Q10" s="3">
        <f>IF(ISNUMBER(P10),SUMIF(A:A,A10,P:P),"")</f>
        <v>0.9656832243415796</v>
      </c>
      <c r="R10" s="3">
        <f t="shared" si="6"/>
        <v>0.21757720314187928</v>
      </c>
      <c r="S10" s="7">
        <f t="shared" si="7"/>
        <v>4.5960697424165016</v>
      </c>
    </row>
    <row r="11" spans="1:19" x14ac:dyDescent="0.3">
      <c r="A11" s="1">
        <v>2</v>
      </c>
      <c r="B11" s="5">
        <v>0.60069444444444442</v>
      </c>
      <c r="C11" s="1" t="s">
        <v>47</v>
      </c>
      <c r="D11" s="1">
        <v>1</v>
      </c>
      <c r="E11" s="1">
        <v>4</v>
      </c>
      <c r="F11" s="1" t="s">
        <v>22</v>
      </c>
      <c r="G11" s="1">
        <v>50.44</v>
      </c>
      <c r="H11" s="1">
        <f>1+COUNTIFS(A:A,A11,G:G,"&gt;"&amp;G11)</f>
        <v>4</v>
      </c>
      <c r="I11" s="2">
        <f>AVERAGEIF(A:A,A11,G:G)</f>
        <v>49.530000000000008</v>
      </c>
      <c r="J11" s="2">
        <f t="shared" si="0"/>
        <v>0.90999999999998948</v>
      </c>
      <c r="K11" s="2">
        <f t="shared" si="1"/>
        <v>90.91</v>
      </c>
      <c r="L11" s="2">
        <f t="shared" si="2"/>
        <v>233.83131983253691</v>
      </c>
      <c r="M11" s="2">
        <f>SUMIF(A:A,A11,L:L)</f>
        <v>1717.3212759895507</v>
      </c>
      <c r="N11" s="3">
        <f t="shared" si="3"/>
        <v>0.13616049780656167</v>
      </c>
      <c r="O11" s="6">
        <f t="shared" si="4"/>
        <v>7.344273971593906</v>
      </c>
      <c r="P11" s="3">
        <f t="shared" si="5"/>
        <v>0.13616049780656167</v>
      </c>
      <c r="Q11" s="3">
        <f>IF(ISNUMBER(P11),SUMIF(A:A,A11,P:P),"")</f>
        <v>0.9656832243415796</v>
      </c>
      <c r="R11" s="3">
        <f t="shared" si="6"/>
        <v>0.140999133436742</v>
      </c>
      <c r="S11" s="7">
        <f t="shared" si="7"/>
        <v>7.0922421693367435</v>
      </c>
    </row>
    <row r="12" spans="1:19" x14ac:dyDescent="0.3">
      <c r="A12" s="1">
        <v>2</v>
      </c>
      <c r="B12" s="5">
        <v>0.60069444444444442</v>
      </c>
      <c r="C12" s="1" t="s">
        <v>47</v>
      </c>
      <c r="D12" s="1">
        <v>1</v>
      </c>
      <c r="E12" s="1">
        <v>3</v>
      </c>
      <c r="F12" s="1" t="s">
        <v>21</v>
      </c>
      <c r="G12" s="1">
        <v>36.92</v>
      </c>
      <c r="H12" s="1">
        <f>1+COUNTIFS(A:A,A12,G:G,"&gt;"&amp;G12)</f>
        <v>5</v>
      </c>
      <c r="I12" s="2">
        <f>AVERAGEIF(A:A,A12,G:G)</f>
        <v>49.530000000000008</v>
      </c>
      <c r="J12" s="2">
        <f t="shared" si="0"/>
        <v>-12.610000000000007</v>
      </c>
      <c r="K12" s="2">
        <f t="shared" si="1"/>
        <v>77.389999999999986</v>
      </c>
      <c r="L12" s="2">
        <f t="shared" si="2"/>
        <v>103.89699753025455</v>
      </c>
      <c r="M12" s="2">
        <f>SUMIF(A:A,A12,L:L)</f>
        <v>1717.3212759895507</v>
      </c>
      <c r="N12" s="3">
        <f t="shared" si="3"/>
        <v>6.0499452829749209E-2</v>
      </c>
      <c r="O12" s="6">
        <f t="shared" si="4"/>
        <v>16.529075111044197</v>
      </c>
      <c r="P12" s="3">
        <f t="shared" si="5"/>
        <v>6.0499452829749209E-2</v>
      </c>
      <c r="Q12" s="3">
        <f>IF(ISNUMBER(P12),SUMIF(A:A,A12,P:P),"")</f>
        <v>0.9656832243415796</v>
      </c>
      <c r="R12" s="3">
        <f t="shared" si="6"/>
        <v>6.2649377461225786E-2</v>
      </c>
      <c r="S12" s="7">
        <f t="shared" si="7"/>
        <v>15.961850548617313</v>
      </c>
    </row>
    <row r="13" spans="1:19" x14ac:dyDescent="0.3">
      <c r="A13" s="1">
        <v>2</v>
      </c>
      <c r="B13" s="5">
        <v>0.60069444444444442</v>
      </c>
      <c r="C13" s="1" t="s">
        <v>47</v>
      </c>
      <c r="D13" s="1">
        <v>1</v>
      </c>
      <c r="E13" s="1">
        <v>6</v>
      </c>
      <c r="F13" s="1" t="s">
        <v>24</v>
      </c>
      <c r="G13" s="1">
        <v>27.47</v>
      </c>
      <c r="H13" s="1">
        <f>1+COUNTIFS(A:A,A13,G:G,"&gt;"&amp;G13)</f>
        <v>6</v>
      </c>
      <c r="I13" s="2">
        <f>AVERAGEIF(A:A,A13,G:G)</f>
        <v>49.530000000000008</v>
      </c>
      <c r="J13" s="2">
        <f t="shared" si="0"/>
        <v>-22.060000000000009</v>
      </c>
      <c r="K13" s="2">
        <f t="shared" si="1"/>
        <v>67.94</v>
      </c>
      <c r="L13" s="2">
        <f t="shared" si="2"/>
        <v>58.932928961565743</v>
      </c>
      <c r="M13" s="2">
        <f>SUMIF(A:A,A13,L:L)</f>
        <v>1717.3212759895507</v>
      </c>
      <c r="N13" s="3">
        <f t="shared" si="3"/>
        <v>3.4316775658420437E-2</v>
      </c>
      <c r="O13" s="6">
        <f t="shared" si="4"/>
        <v>29.140266846562731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6</v>
      </c>
      <c r="B15" s="5">
        <v>0.65277777777777779</v>
      </c>
      <c r="C15" s="1" t="s">
        <v>47</v>
      </c>
      <c r="D15" s="1">
        <v>3</v>
      </c>
      <c r="E15" s="1">
        <v>4</v>
      </c>
      <c r="F15" s="1" t="s">
        <v>27</v>
      </c>
      <c r="G15" s="1">
        <v>68.42</v>
      </c>
      <c r="H15" s="1">
        <f>1+COUNTIFS(A:A,A15,G:G,"&gt;"&amp;G15)</f>
        <v>1</v>
      </c>
      <c r="I15" s="2">
        <f>AVERAGEIF(A:A,A15,G:G)</f>
        <v>49.676363636363639</v>
      </c>
      <c r="J15" s="2">
        <f t="shared" ref="J15:J23" si="8">G15-I15</f>
        <v>18.743636363636362</v>
      </c>
      <c r="K15" s="2">
        <f t="shared" ref="K15:K23" si="9">90+J15</f>
        <v>108.74363636363637</v>
      </c>
      <c r="L15" s="2">
        <f t="shared" ref="L15:L23" si="10">EXP(0.06*K15)</f>
        <v>681.71943107841003</v>
      </c>
      <c r="M15" s="2">
        <f>SUMIF(A:A,A15,L:L)</f>
        <v>3142.6657082684947</v>
      </c>
      <c r="N15" s="3">
        <f t="shared" ref="N15:N23" si="11">L15/M15</f>
        <v>0.21692394112576963</v>
      </c>
      <c r="O15" s="6">
        <f t="shared" ref="O15:O23" si="12">1/N15</f>
        <v>4.6099107125304037</v>
      </c>
      <c r="P15" s="3">
        <f t="shared" ref="P15:P23" si="13">IF(O15&gt;21,"",N15)</f>
        <v>0.21692394112576963</v>
      </c>
      <c r="Q15" s="3">
        <f>IF(ISNUMBER(P15),SUMIF(A:A,A15,P:P),"")</f>
        <v>0.87108360853044475</v>
      </c>
      <c r="R15" s="3">
        <f t="shared" ref="R15:R23" si="14">IFERROR(P15*(1/Q15),"")</f>
        <v>0.24902769263645036</v>
      </c>
      <c r="S15" s="7">
        <f t="shared" ref="S15:S23" si="15">IFERROR(1/R15,"")</f>
        <v>4.0156176584741372</v>
      </c>
    </row>
    <row r="16" spans="1:19" x14ac:dyDescent="0.3">
      <c r="A16" s="1">
        <v>6</v>
      </c>
      <c r="B16" s="5">
        <v>0.65277777777777779</v>
      </c>
      <c r="C16" s="1" t="s">
        <v>47</v>
      </c>
      <c r="D16" s="1">
        <v>3</v>
      </c>
      <c r="E16" s="1">
        <v>5</v>
      </c>
      <c r="F16" s="1" t="s">
        <v>28</v>
      </c>
      <c r="G16" s="1">
        <v>62.84</v>
      </c>
      <c r="H16" s="1">
        <f>1+COUNTIFS(A:A,A16,G:G,"&gt;"&amp;G16)</f>
        <v>2</v>
      </c>
      <c r="I16" s="2">
        <f>AVERAGEIF(A:A,A16,G:G)</f>
        <v>49.676363636363639</v>
      </c>
      <c r="J16" s="2">
        <f t="shared" si="8"/>
        <v>13.163636363636364</v>
      </c>
      <c r="K16" s="2">
        <f t="shared" si="9"/>
        <v>103.16363636363636</v>
      </c>
      <c r="L16" s="2">
        <f t="shared" si="10"/>
        <v>487.75741498548416</v>
      </c>
      <c r="M16" s="2">
        <f>SUMIF(A:A,A16,L:L)</f>
        <v>3142.6657082684947</v>
      </c>
      <c r="N16" s="3">
        <f t="shared" si="11"/>
        <v>0.15520499482403505</v>
      </c>
      <c r="O16" s="6">
        <f t="shared" si="12"/>
        <v>6.4430916101234903</v>
      </c>
      <c r="P16" s="3">
        <f t="shared" si="13"/>
        <v>0.15520499482403505</v>
      </c>
      <c r="Q16" s="3">
        <f>IF(ISNUMBER(P16),SUMIF(A:A,A16,P:P),"")</f>
        <v>0.87108360853044475</v>
      </c>
      <c r="R16" s="3">
        <f t="shared" si="14"/>
        <v>0.17817462446098889</v>
      </c>
      <c r="S16" s="7">
        <f t="shared" si="15"/>
        <v>5.6124714898386037</v>
      </c>
    </row>
    <row r="17" spans="1:19" x14ac:dyDescent="0.3">
      <c r="A17" s="1">
        <v>6</v>
      </c>
      <c r="B17" s="5">
        <v>0.65277777777777779</v>
      </c>
      <c r="C17" s="1" t="s">
        <v>47</v>
      </c>
      <c r="D17" s="1">
        <v>3</v>
      </c>
      <c r="E17" s="1">
        <v>3</v>
      </c>
      <c r="F17" s="1" t="s">
        <v>26</v>
      </c>
      <c r="G17" s="1">
        <v>61.73</v>
      </c>
      <c r="H17" s="1">
        <f>1+COUNTIFS(A:A,A17,G:G,"&gt;"&amp;G17)</f>
        <v>3</v>
      </c>
      <c r="I17" s="2">
        <f>AVERAGEIF(A:A,A17,G:G)</f>
        <v>49.676363636363639</v>
      </c>
      <c r="J17" s="2">
        <f t="shared" si="8"/>
        <v>12.053636363636357</v>
      </c>
      <c r="K17" s="2">
        <f t="shared" si="9"/>
        <v>102.05363636363636</v>
      </c>
      <c r="L17" s="2">
        <f t="shared" si="10"/>
        <v>456.33088976515779</v>
      </c>
      <c r="M17" s="2">
        <f>SUMIF(A:A,A17,L:L)</f>
        <v>3142.6657082684947</v>
      </c>
      <c r="N17" s="3">
        <f t="shared" si="11"/>
        <v>0.14520503678279581</v>
      </c>
      <c r="O17" s="6">
        <f t="shared" si="12"/>
        <v>6.8868134477720959</v>
      </c>
      <c r="P17" s="3">
        <f t="shared" si="13"/>
        <v>0.14520503678279581</v>
      </c>
      <c r="Q17" s="3">
        <f>IF(ISNUMBER(P17),SUMIF(A:A,A17,P:P),"")</f>
        <v>0.87108360853044475</v>
      </c>
      <c r="R17" s="3">
        <f t="shared" si="14"/>
        <v>0.16669471834943941</v>
      </c>
      <c r="S17" s="7">
        <f t="shared" si="15"/>
        <v>5.9989903093613099</v>
      </c>
    </row>
    <row r="18" spans="1:19" x14ac:dyDescent="0.3">
      <c r="A18" s="1">
        <v>6</v>
      </c>
      <c r="B18" s="5">
        <v>0.65277777777777779</v>
      </c>
      <c r="C18" s="1" t="s">
        <v>47</v>
      </c>
      <c r="D18" s="1">
        <v>3</v>
      </c>
      <c r="E18" s="1">
        <v>9</v>
      </c>
      <c r="F18" s="1" t="s">
        <v>31</v>
      </c>
      <c r="G18" s="1">
        <v>61.12</v>
      </c>
      <c r="H18" s="1">
        <f>1+COUNTIFS(A:A,A18,G:G,"&gt;"&amp;G18)</f>
        <v>4</v>
      </c>
      <c r="I18" s="2">
        <f>AVERAGEIF(A:A,A18,G:G)</f>
        <v>49.676363636363639</v>
      </c>
      <c r="J18" s="2">
        <f t="shared" si="8"/>
        <v>11.443636363636358</v>
      </c>
      <c r="K18" s="2">
        <f t="shared" si="9"/>
        <v>101.44363636363636</v>
      </c>
      <c r="L18" s="2">
        <f t="shared" si="10"/>
        <v>439.93112554970412</v>
      </c>
      <c r="M18" s="2">
        <f>SUMIF(A:A,A18,L:L)</f>
        <v>3142.6657082684947</v>
      </c>
      <c r="N18" s="3">
        <f t="shared" si="11"/>
        <v>0.13998661212747687</v>
      </c>
      <c r="O18" s="6">
        <f t="shared" si="12"/>
        <v>7.1435402629028824</v>
      </c>
      <c r="P18" s="3">
        <f t="shared" si="13"/>
        <v>0.13998661212747687</v>
      </c>
      <c r="Q18" s="3">
        <f>IF(ISNUMBER(P18),SUMIF(A:A,A18,P:P),"")</f>
        <v>0.87108360853044475</v>
      </c>
      <c r="R18" s="3">
        <f t="shared" si="14"/>
        <v>0.16070399070376296</v>
      </c>
      <c r="S18" s="7">
        <f t="shared" si="15"/>
        <v>6.222620829891965</v>
      </c>
    </row>
    <row r="19" spans="1:19" x14ac:dyDescent="0.3">
      <c r="A19" s="1">
        <v>6</v>
      </c>
      <c r="B19" s="5">
        <v>0.65277777777777779</v>
      </c>
      <c r="C19" s="1" t="s">
        <v>47</v>
      </c>
      <c r="D19" s="1">
        <v>3</v>
      </c>
      <c r="E19" s="1">
        <v>11</v>
      </c>
      <c r="F19" s="1" t="s">
        <v>33</v>
      </c>
      <c r="G19" s="1">
        <v>53.13</v>
      </c>
      <c r="H19" s="1">
        <f>1+COUNTIFS(A:A,A19,G:G,"&gt;"&amp;G19)</f>
        <v>5</v>
      </c>
      <c r="I19" s="2">
        <f>AVERAGEIF(A:A,A19,G:G)</f>
        <v>49.676363636363639</v>
      </c>
      <c r="J19" s="2">
        <f t="shared" si="8"/>
        <v>3.4536363636363632</v>
      </c>
      <c r="K19" s="2">
        <f t="shared" si="9"/>
        <v>93.453636363636363</v>
      </c>
      <c r="L19" s="2">
        <f t="shared" si="10"/>
        <v>272.38545628293116</v>
      </c>
      <c r="M19" s="2">
        <f>SUMIF(A:A,A19,L:L)</f>
        <v>3142.6657082684947</v>
      </c>
      <c r="N19" s="3">
        <f t="shared" si="11"/>
        <v>8.6673379089055758E-2</v>
      </c>
      <c r="O19" s="6">
        <f t="shared" si="12"/>
        <v>11.537567941968815</v>
      </c>
      <c r="P19" s="3">
        <f t="shared" si="13"/>
        <v>8.6673379089055758E-2</v>
      </c>
      <c r="Q19" s="3">
        <f>IF(ISNUMBER(P19),SUMIF(A:A,A19,P:P),"")</f>
        <v>0.87108360853044475</v>
      </c>
      <c r="R19" s="3">
        <f t="shared" si="14"/>
        <v>9.9500642923676927E-2</v>
      </c>
      <c r="S19" s="7">
        <f t="shared" si="15"/>
        <v>10.050186316555372</v>
      </c>
    </row>
    <row r="20" spans="1:19" x14ac:dyDescent="0.3">
      <c r="A20" s="1">
        <v>6</v>
      </c>
      <c r="B20" s="5">
        <v>0.65277777777777779</v>
      </c>
      <c r="C20" s="1" t="s">
        <v>47</v>
      </c>
      <c r="D20" s="1">
        <v>3</v>
      </c>
      <c r="E20" s="1">
        <v>13</v>
      </c>
      <c r="F20" s="1" t="s">
        <v>35</v>
      </c>
      <c r="G20" s="1">
        <v>50.12</v>
      </c>
      <c r="H20" s="1">
        <f>1+COUNTIFS(A:A,A20,G:G,"&gt;"&amp;G20)</f>
        <v>6</v>
      </c>
      <c r="I20" s="2">
        <f>AVERAGEIF(A:A,A20,G:G)</f>
        <v>49.676363636363639</v>
      </c>
      <c r="J20" s="2">
        <f t="shared" si="8"/>
        <v>0.44363636363635806</v>
      </c>
      <c r="K20" s="2">
        <f t="shared" si="9"/>
        <v>90.443636363636358</v>
      </c>
      <c r="L20" s="2">
        <f t="shared" si="10"/>
        <v>227.37898932479985</v>
      </c>
      <c r="M20" s="2">
        <f>SUMIF(A:A,A20,L:L)</f>
        <v>3142.6657082684947</v>
      </c>
      <c r="N20" s="3">
        <f t="shared" si="11"/>
        <v>7.2352267289058303E-2</v>
      </c>
      <c r="O20" s="6">
        <f t="shared" si="12"/>
        <v>13.821266941156772</v>
      </c>
      <c r="P20" s="3">
        <f t="shared" si="13"/>
        <v>7.2352267289058303E-2</v>
      </c>
      <c r="Q20" s="3">
        <f>IF(ISNUMBER(P20),SUMIF(A:A,A20,P:P),"")</f>
        <v>0.87108360853044475</v>
      </c>
      <c r="R20" s="3">
        <f t="shared" si="14"/>
        <v>8.3060072053381506E-2</v>
      </c>
      <c r="S20" s="7">
        <f t="shared" si="15"/>
        <v>12.039479081565382</v>
      </c>
    </row>
    <row r="21" spans="1:19" x14ac:dyDescent="0.3">
      <c r="A21" s="1">
        <v>6</v>
      </c>
      <c r="B21" s="5">
        <v>0.65277777777777779</v>
      </c>
      <c r="C21" s="1" t="s">
        <v>47</v>
      </c>
      <c r="D21" s="1">
        <v>3</v>
      </c>
      <c r="E21" s="1">
        <v>8</v>
      </c>
      <c r="F21" s="1" t="s">
        <v>30</v>
      </c>
      <c r="G21" s="1">
        <v>45.47</v>
      </c>
      <c r="H21" s="1">
        <f>1+COUNTIFS(A:A,A21,G:G,"&gt;"&amp;G21)</f>
        <v>7</v>
      </c>
      <c r="I21" s="2">
        <f>AVERAGEIF(A:A,A21,G:G)</f>
        <v>49.676363636363639</v>
      </c>
      <c r="J21" s="2">
        <f t="shared" si="8"/>
        <v>-4.2063636363636405</v>
      </c>
      <c r="K21" s="2">
        <f t="shared" si="9"/>
        <v>85.793636363636352</v>
      </c>
      <c r="L21" s="2">
        <f t="shared" si="10"/>
        <v>172.02127857691923</v>
      </c>
      <c r="M21" s="2">
        <f>SUMIF(A:A,A21,L:L)</f>
        <v>3142.6657082684947</v>
      </c>
      <c r="N21" s="3">
        <f t="shared" si="11"/>
        <v>5.4737377292253364E-2</v>
      </c>
      <c r="O21" s="6">
        <f t="shared" si="12"/>
        <v>18.269052144402316</v>
      </c>
      <c r="P21" s="3">
        <f t="shared" si="13"/>
        <v>5.4737377292253364E-2</v>
      </c>
      <c r="Q21" s="3">
        <f>IF(ISNUMBER(P21),SUMIF(A:A,A21,P:P),"")</f>
        <v>0.87108360853044475</v>
      </c>
      <c r="R21" s="3">
        <f t="shared" si="14"/>
        <v>6.283825887230006E-2</v>
      </c>
      <c r="S21" s="7">
        <f t="shared" si="15"/>
        <v>15.913871866376828</v>
      </c>
    </row>
    <row r="22" spans="1:19" x14ac:dyDescent="0.3">
      <c r="A22" s="1">
        <v>6</v>
      </c>
      <c r="B22" s="5">
        <v>0.65277777777777779</v>
      </c>
      <c r="C22" s="1" t="s">
        <v>47</v>
      </c>
      <c r="D22" s="1">
        <v>3</v>
      </c>
      <c r="E22" s="1">
        <v>12</v>
      </c>
      <c r="F22" s="1" t="s">
        <v>34</v>
      </c>
      <c r="G22" s="1">
        <v>42.92</v>
      </c>
      <c r="H22" s="1">
        <f>1+COUNTIFS(A:A,A22,G:G,"&gt;"&amp;G22)</f>
        <v>8</v>
      </c>
      <c r="I22" s="2">
        <f>AVERAGEIF(A:A,A22,G:G)</f>
        <v>49.676363636363639</v>
      </c>
      <c r="J22" s="2">
        <f t="shared" si="8"/>
        <v>-6.7563636363636377</v>
      </c>
      <c r="K22" s="2">
        <f t="shared" si="9"/>
        <v>83.243636363636369</v>
      </c>
      <c r="L22" s="2">
        <f t="shared" si="10"/>
        <v>147.61657193085216</v>
      </c>
      <c r="M22" s="2">
        <f>SUMIF(A:A,A22,L:L)</f>
        <v>3142.6657082684947</v>
      </c>
      <c r="N22" s="3">
        <f t="shared" si="11"/>
        <v>4.6971770348486742E-2</v>
      </c>
      <c r="O22" s="6">
        <f t="shared" si="12"/>
        <v>21.289382805479384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6</v>
      </c>
      <c r="B23" s="5">
        <v>0.65277777777777779</v>
      </c>
      <c r="C23" s="1" t="s">
        <v>47</v>
      </c>
      <c r="D23" s="1">
        <v>3</v>
      </c>
      <c r="E23" s="1">
        <v>10</v>
      </c>
      <c r="F23" s="1" t="s">
        <v>32</v>
      </c>
      <c r="G23" s="1">
        <v>37.57</v>
      </c>
      <c r="H23" s="1">
        <f>1+COUNTIFS(A:A,A23,G:G,"&gt;"&amp;G23)</f>
        <v>9</v>
      </c>
      <c r="I23" s="2">
        <f>AVERAGEIF(A:A,A23,G:G)</f>
        <v>49.676363636363639</v>
      </c>
      <c r="J23" s="2">
        <f t="shared" si="8"/>
        <v>-12.106363636363639</v>
      </c>
      <c r="K23" s="2">
        <f t="shared" si="9"/>
        <v>77.893636363636361</v>
      </c>
      <c r="L23" s="2">
        <f t="shared" si="10"/>
        <v>107.08449351009872</v>
      </c>
      <c r="M23" s="2">
        <f>SUMIF(A:A,A23,L:L)</f>
        <v>3142.6657082684947</v>
      </c>
      <c r="N23" s="3">
        <f t="shared" si="11"/>
        <v>3.4074414350961549E-2</v>
      </c>
      <c r="O23" s="6">
        <f t="shared" si="12"/>
        <v>29.347533011136871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>
        <v>6</v>
      </c>
      <c r="B24" s="5">
        <v>0.65277777777777779</v>
      </c>
      <c r="C24" s="1" t="s">
        <v>47</v>
      </c>
      <c r="D24" s="1">
        <v>3</v>
      </c>
      <c r="E24" s="1">
        <v>1</v>
      </c>
      <c r="F24" s="1" t="s">
        <v>25</v>
      </c>
      <c r="G24" s="1">
        <v>33.590000000000003</v>
      </c>
      <c r="H24" s="1">
        <f>1+COUNTIFS(A:A,A24,G:G,"&gt;"&amp;G24)</f>
        <v>10</v>
      </c>
      <c r="I24" s="2">
        <f>AVERAGEIF(A:A,A24,G:G)</f>
        <v>49.676363636363639</v>
      </c>
      <c r="J24" s="2">
        <f t="shared" ref="J24:J25" si="16">G24-I24</f>
        <v>-16.086363636363636</v>
      </c>
      <c r="K24" s="2">
        <f t="shared" ref="K24:K25" si="17">90+J24</f>
        <v>73.913636363636357</v>
      </c>
      <c r="L24" s="2">
        <f t="shared" ref="L24:L25" si="18">EXP(0.06*K24)</f>
        <v>84.336789532476374</v>
      </c>
      <c r="M24" s="2">
        <f>SUMIF(A:A,A24,L:L)</f>
        <v>3142.6657082684947</v>
      </c>
      <c r="N24" s="3">
        <f t="shared" ref="N24:N25" si="19">L24/M24</f>
        <v>2.6836067644924019E-2</v>
      </c>
      <c r="O24" s="6">
        <f t="shared" ref="O24:O25" si="20">1/N24</f>
        <v>37.263283623789334</v>
      </c>
      <c r="P24" s="3" t="str">
        <f t="shared" ref="P24:P25" si="21">IF(O24&gt;21,"",N24)</f>
        <v/>
      </c>
      <c r="Q24" s="3" t="str">
        <f>IF(ISNUMBER(P24),SUMIF(A:A,A24,P:P),"")</f>
        <v/>
      </c>
      <c r="R24" s="3" t="str">
        <f t="shared" ref="R24:R25" si="22">IFERROR(P24*(1/Q24),"")</f>
        <v/>
      </c>
      <c r="S24" s="7" t="str">
        <f t="shared" ref="S24:S25" si="23">IFERROR(1/R24,"")</f>
        <v/>
      </c>
    </row>
    <row r="25" spans="1:19" x14ac:dyDescent="0.3">
      <c r="A25" s="1">
        <v>6</v>
      </c>
      <c r="B25" s="5">
        <v>0.65277777777777779</v>
      </c>
      <c r="C25" s="1" t="s">
        <v>47</v>
      </c>
      <c r="D25" s="1">
        <v>3</v>
      </c>
      <c r="E25" s="1">
        <v>7</v>
      </c>
      <c r="F25" s="1" t="s">
        <v>29</v>
      </c>
      <c r="G25" s="1">
        <v>29.53</v>
      </c>
      <c r="H25" s="1">
        <f>1+COUNTIFS(A:A,A25,G:G,"&gt;"&amp;G25)</f>
        <v>11</v>
      </c>
      <c r="I25" s="2">
        <f>AVERAGEIF(A:A,A25,G:G)</f>
        <v>49.676363636363639</v>
      </c>
      <c r="J25" s="2">
        <f t="shared" si="16"/>
        <v>-20.146363636363638</v>
      </c>
      <c r="K25" s="2">
        <f t="shared" si="17"/>
        <v>69.853636363636355</v>
      </c>
      <c r="L25" s="2">
        <f t="shared" si="18"/>
        <v>66.103267731661148</v>
      </c>
      <c r="M25" s="2">
        <f>SUMIF(A:A,A25,L:L)</f>
        <v>3142.6657082684947</v>
      </c>
      <c r="N25" s="3">
        <f t="shared" si="19"/>
        <v>2.1034139125182955E-2</v>
      </c>
      <c r="O25" s="6">
        <f t="shared" si="20"/>
        <v>47.541760280683796</v>
      </c>
      <c r="P25" s="3" t="str">
        <f t="shared" si="21"/>
        <v/>
      </c>
      <c r="Q25" s="3" t="str">
        <f>IF(ISNUMBER(P25),SUMIF(A:A,A25,P:P),"")</f>
        <v/>
      </c>
      <c r="R25" s="3" t="str">
        <f t="shared" si="22"/>
        <v/>
      </c>
      <c r="S25" s="7" t="str">
        <f t="shared" si="23"/>
        <v/>
      </c>
    </row>
    <row r="26" spans="1:19" x14ac:dyDescent="0.3">
      <c r="A26" s="1"/>
      <c r="B26" s="5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3"/>
      <c r="O26" s="6"/>
      <c r="P26" s="3"/>
      <c r="Q26" s="3"/>
      <c r="R26" s="3"/>
      <c r="S26" s="7"/>
    </row>
    <row r="27" spans="1:19" x14ac:dyDescent="0.3">
      <c r="A27" s="1">
        <v>12</v>
      </c>
      <c r="B27" s="5">
        <v>0.72916666666666663</v>
      </c>
      <c r="C27" s="1" t="s">
        <v>47</v>
      </c>
      <c r="D27" s="1">
        <v>6</v>
      </c>
      <c r="E27" s="1">
        <v>8</v>
      </c>
      <c r="F27" s="1" t="s">
        <v>41</v>
      </c>
      <c r="G27" s="1">
        <v>65.599999999999994</v>
      </c>
      <c r="H27" s="1">
        <f>1+COUNTIFS(A:A,A27,G:G,"&gt;"&amp;G27)</f>
        <v>1</v>
      </c>
      <c r="I27" s="2">
        <f>AVERAGEIF(A:A,A27,G:G)</f>
        <v>49.539999999999992</v>
      </c>
      <c r="J27" s="2">
        <f t="shared" ref="J27:J37" si="24">G27-I27</f>
        <v>16.060000000000002</v>
      </c>
      <c r="K27" s="2">
        <f t="shared" ref="K27:K37" si="25">90+J27</f>
        <v>106.06</v>
      </c>
      <c r="L27" s="2">
        <f t="shared" ref="L27:L37" si="26">EXP(0.06*K27)</f>
        <v>580.33179481362663</v>
      </c>
      <c r="M27" s="2">
        <f>SUMIF(A:A,A27,L:L)</f>
        <v>3142.9512193659962</v>
      </c>
      <c r="N27" s="3">
        <f t="shared" ref="N27:N37" si="27">L27/M27</f>
        <v>0.18464549854855608</v>
      </c>
      <c r="O27" s="6">
        <f t="shared" ref="O27:O37" si="28">1/N27</f>
        <v>5.4157832596012669</v>
      </c>
      <c r="P27" s="3">
        <f t="shared" ref="P27:P37" si="29">IF(O27&gt;21,"",N27)</f>
        <v>0.18464549854855608</v>
      </c>
      <c r="Q27" s="3">
        <f>IF(ISNUMBER(P27),SUMIF(A:A,A27,P:P),"")</f>
        <v>0.93110301171208354</v>
      </c>
      <c r="R27" s="3">
        <f t="shared" ref="R27:R37" si="30">IFERROR(P27*(1/Q27),"")</f>
        <v>0.19830834636549571</v>
      </c>
      <c r="S27" s="7">
        <f t="shared" ref="S27:S37" si="31">IFERROR(1/R27,"")</f>
        <v>5.0426521037946239</v>
      </c>
    </row>
    <row r="28" spans="1:19" x14ac:dyDescent="0.3">
      <c r="A28" s="1">
        <v>12</v>
      </c>
      <c r="B28" s="5">
        <v>0.72916666666666663</v>
      </c>
      <c r="C28" s="1" t="s">
        <v>47</v>
      </c>
      <c r="D28" s="1">
        <v>6</v>
      </c>
      <c r="E28" s="1">
        <v>9</v>
      </c>
      <c r="F28" s="1" t="s">
        <v>42</v>
      </c>
      <c r="G28" s="1">
        <v>62.64</v>
      </c>
      <c r="H28" s="1">
        <f>1+COUNTIFS(A:A,A28,G:G,"&gt;"&amp;G28)</f>
        <v>2</v>
      </c>
      <c r="I28" s="2">
        <f>AVERAGEIF(A:A,A28,G:G)</f>
        <v>49.539999999999992</v>
      </c>
      <c r="J28" s="2">
        <f t="shared" si="24"/>
        <v>13.100000000000009</v>
      </c>
      <c r="K28" s="2">
        <f t="shared" si="25"/>
        <v>103.10000000000001</v>
      </c>
      <c r="L28" s="2">
        <f t="shared" si="26"/>
        <v>485.89861935993997</v>
      </c>
      <c r="M28" s="2">
        <f>SUMIF(A:A,A28,L:L)</f>
        <v>3142.9512193659962</v>
      </c>
      <c r="N28" s="3">
        <f t="shared" si="27"/>
        <v>0.15459947846659761</v>
      </c>
      <c r="O28" s="6">
        <f t="shared" si="28"/>
        <v>6.4683271245061649</v>
      </c>
      <c r="P28" s="3">
        <f t="shared" si="29"/>
        <v>0.15459947846659761</v>
      </c>
      <c r="Q28" s="3">
        <f>IF(ISNUMBER(P28),SUMIF(A:A,A28,P:P),"")</f>
        <v>0.93110301171208354</v>
      </c>
      <c r="R28" s="3">
        <f t="shared" si="30"/>
        <v>0.1660390703519741</v>
      </c>
      <c r="S28" s="7">
        <f t="shared" si="31"/>
        <v>6.0226788663666513</v>
      </c>
    </row>
    <row r="29" spans="1:19" x14ac:dyDescent="0.3">
      <c r="A29" s="1">
        <v>12</v>
      </c>
      <c r="B29" s="5">
        <v>0.72916666666666663</v>
      </c>
      <c r="C29" s="1" t="s">
        <v>47</v>
      </c>
      <c r="D29" s="1">
        <v>6</v>
      </c>
      <c r="E29" s="1">
        <v>2</v>
      </c>
      <c r="F29" s="1" t="s">
        <v>36</v>
      </c>
      <c r="G29" s="1">
        <v>62.21</v>
      </c>
      <c r="H29" s="1">
        <f>1+COUNTIFS(A:A,A29,G:G,"&gt;"&amp;G29)</f>
        <v>3</v>
      </c>
      <c r="I29" s="2">
        <f>AVERAGEIF(A:A,A29,G:G)</f>
        <v>49.539999999999992</v>
      </c>
      <c r="J29" s="2">
        <f t="shared" si="24"/>
        <v>12.670000000000009</v>
      </c>
      <c r="K29" s="2">
        <f t="shared" si="25"/>
        <v>102.67000000000002</v>
      </c>
      <c r="L29" s="2">
        <f t="shared" si="26"/>
        <v>473.52276991899475</v>
      </c>
      <c r="M29" s="2">
        <f>SUMIF(A:A,A29,L:L)</f>
        <v>3142.9512193659962</v>
      </c>
      <c r="N29" s="3">
        <f t="shared" si="27"/>
        <v>0.1506618260573942</v>
      </c>
      <c r="O29" s="6">
        <f t="shared" si="28"/>
        <v>6.6373813869682747</v>
      </c>
      <c r="P29" s="3">
        <f t="shared" si="29"/>
        <v>0.1506618260573942</v>
      </c>
      <c r="Q29" s="3">
        <f>IF(ISNUMBER(P29),SUMIF(A:A,A29,P:P),"")</f>
        <v>0.93110301171208354</v>
      </c>
      <c r="R29" s="3">
        <f t="shared" si="30"/>
        <v>0.16181005126421175</v>
      </c>
      <c r="S29" s="7">
        <f t="shared" si="31"/>
        <v>6.1800857992878866</v>
      </c>
    </row>
    <row r="30" spans="1:19" x14ac:dyDescent="0.3">
      <c r="A30" s="1">
        <v>12</v>
      </c>
      <c r="B30" s="5">
        <v>0.72916666666666663</v>
      </c>
      <c r="C30" s="1" t="s">
        <v>47</v>
      </c>
      <c r="D30" s="1">
        <v>6</v>
      </c>
      <c r="E30" s="1">
        <v>10</v>
      </c>
      <c r="F30" s="1" t="s">
        <v>43</v>
      </c>
      <c r="G30" s="1">
        <v>58.49</v>
      </c>
      <c r="H30" s="1">
        <f>1+COUNTIFS(A:A,A30,G:G,"&gt;"&amp;G30)</f>
        <v>4</v>
      </c>
      <c r="I30" s="2">
        <f>AVERAGEIF(A:A,A30,G:G)</f>
        <v>49.539999999999992</v>
      </c>
      <c r="J30" s="2">
        <f t="shared" si="24"/>
        <v>8.9500000000000099</v>
      </c>
      <c r="K30" s="2">
        <f t="shared" si="25"/>
        <v>98.950000000000017</v>
      </c>
      <c r="L30" s="2">
        <f t="shared" si="26"/>
        <v>378.79683274828517</v>
      </c>
      <c r="M30" s="2">
        <f>SUMIF(A:A,A30,L:L)</f>
        <v>3142.9512193659962</v>
      </c>
      <c r="N30" s="3">
        <f t="shared" si="27"/>
        <v>0.12052265730827887</v>
      </c>
      <c r="O30" s="6">
        <f t="shared" si="28"/>
        <v>8.2971950862496353</v>
      </c>
      <c r="P30" s="3">
        <f t="shared" si="29"/>
        <v>0.12052265730827887</v>
      </c>
      <c r="Q30" s="3">
        <f>IF(ISNUMBER(P30),SUMIF(A:A,A30,P:P),"")</f>
        <v>0.93110301171208354</v>
      </c>
      <c r="R30" s="3">
        <f t="shared" si="30"/>
        <v>0.12944073404581249</v>
      </c>
      <c r="S30" s="7">
        <f t="shared" si="31"/>
        <v>7.7255433335697372</v>
      </c>
    </row>
    <row r="31" spans="1:19" x14ac:dyDescent="0.3">
      <c r="A31" s="1">
        <v>12</v>
      </c>
      <c r="B31" s="5">
        <v>0.72916666666666663</v>
      </c>
      <c r="C31" s="1" t="s">
        <v>47</v>
      </c>
      <c r="D31" s="1">
        <v>6</v>
      </c>
      <c r="E31" s="1">
        <v>4</v>
      </c>
      <c r="F31" s="1" t="s">
        <v>38</v>
      </c>
      <c r="G31" s="1">
        <v>55.47</v>
      </c>
      <c r="H31" s="1">
        <f>1+COUNTIFS(A:A,A31,G:G,"&gt;"&amp;G31)</f>
        <v>5</v>
      </c>
      <c r="I31" s="2">
        <f>AVERAGEIF(A:A,A31,G:G)</f>
        <v>49.539999999999992</v>
      </c>
      <c r="J31" s="2">
        <f t="shared" si="24"/>
        <v>5.9300000000000068</v>
      </c>
      <c r="K31" s="2">
        <f t="shared" si="25"/>
        <v>95.93</v>
      </c>
      <c r="L31" s="2">
        <f t="shared" si="26"/>
        <v>316.01826103415044</v>
      </c>
      <c r="M31" s="2">
        <f>SUMIF(A:A,A31,L:L)</f>
        <v>3142.9512193659962</v>
      </c>
      <c r="N31" s="3">
        <f t="shared" si="27"/>
        <v>0.10054825511988011</v>
      </c>
      <c r="O31" s="6">
        <f t="shared" si="28"/>
        <v>9.945473432708857</v>
      </c>
      <c r="P31" s="3">
        <f t="shared" si="29"/>
        <v>0.10054825511988011</v>
      </c>
      <c r="Q31" s="3">
        <f>IF(ISNUMBER(P31),SUMIF(A:A,A31,P:P),"")</f>
        <v>0.93110301171208354</v>
      </c>
      <c r="R31" s="3">
        <f t="shared" si="30"/>
        <v>0.10798832551834954</v>
      </c>
      <c r="S31" s="7">
        <f t="shared" si="31"/>
        <v>9.2602602660977311</v>
      </c>
    </row>
    <row r="32" spans="1:19" x14ac:dyDescent="0.3">
      <c r="A32" s="1">
        <v>12</v>
      </c>
      <c r="B32" s="5">
        <v>0.72916666666666663</v>
      </c>
      <c r="C32" s="1" t="s">
        <v>47</v>
      </c>
      <c r="D32" s="1">
        <v>6</v>
      </c>
      <c r="E32" s="1">
        <v>5</v>
      </c>
      <c r="F32" s="1" t="s">
        <v>39</v>
      </c>
      <c r="G32" s="1">
        <v>54.35</v>
      </c>
      <c r="H32" s="1">
        <f>1+COUNTIFS(A:A,A32,G:G,"&gt;"&amp;G32)</f>
        <v>6</v>
      </c>
      <c r="I32" s="2">
        <f>AVERAGEIF(A:A,A32,G:G)</f>
        <v>49.539999999999992</v>
      </c>
      <c r="J32" s="2">
        <f t="shared" si="24"/>
        <v>4.8100000000000094</v>
      </c>
      <c r="K32" s="2">
        <f t="shared" si="25"/>
        <v>94.81</v>
      </c>
      <c r="L32" s="2">
        <f t="shared" si="26"/>
        <v>295.47965941206087</v>
      </c>
      <c r="M32" s="2">
        <f>SUMIF(A:A,A32,L:L)</f>
        <v>3142.9512193659962</v>
      </c>
      <c r="N32" s="3">
        <f t="shared" si="27"/>
        <v>9.4013441122279259E-2</v>
      </c>
      <c r="O32" s="6">
        <f t="shared" si="28"/>
        <v>10.636776912562352</v>
      </c>
      <c r="P32" s="3">
        <f t="shared" si="29"/>
        <v>9.4013441122279259E-2</v>
      </c>
      <c r="Q32" s="3">
        <f>IF(ISNUMBER(P32),SUMIF(A:A,A32,P:P),"")</f>
        <v>0.93110301171208354</v>
      </c>
      <c r="R32" s="3">
        <f t="shared" si="30"/>
        <v>0.1009699678120579</v>
      </c>
      <c r="S32" s="7">
        <f t="shared" si="31"/>
        <v>9.9039350181963641</v>
      </c>
    </row>
    <row r="33" spans="1:19" x14ac:dyDescent="0.3">
      <c r="A33" s="1">
        <v>12</v>
      </c>
      <c r="B33" s="5">
        <v>0.72916666666666663</v>
      </c>
      <c r="C33" s="1" t="s">
        <v>47</v>
      </c>
      <c r="D33" s="1">
        <v>6</v>
      </c>
      <c r="E33" s="1">
        <v>14</v>
      </c>
      <c r="F33" s="1" t="s">
        <v>45</v>
      </c>
      <c r="G33" s="1">
        <v>48.01</v>
      </c>
      <c r="H33" s="1">
        <f>1+COUNTIFS(A:A,A33,G:G,"&gt;"&amp;G33)</f>
        <v>7</v>
      </c>
      <c r="I33" s="2">
        <f>AVERAGEIF(A:A,A33,G:G)</f>
        <v>49.539999999999992</v>
      </c>
      <c r="J33" s="2">
        <f t="shared" si="24"/>
        <v>-1.529999999999994</v>
      </c>
      <c r="K33" s="2">
        <f t="shared" si="25"/>
        <v>88.47</v>
      </c>
      <c r="L33" s="2">
        <f t="shared" si="26"/>
        <v>201.98632558782282</v>
      </c>
      <c r="M33" s="2">
        <f>SUMIF(A:A,A33,L:L)</f>
        <v>3142.9512193659962</v>
      </c>
      <c r="N33" s="3">
        <f t="shared" si="27"/>
        <v>6.4266452607739805E-2</v>
      </c>
      <c r="O33" s="6">
        <f t="shared" si="28"/>
        <v>15.560217802959409</v>
      </c>
      <c r="P33" s="3">
        <f t="shared" si="29"/>
        <v>6.4266452607739805E-2</v>
      </c>
      <c r="Q33" s="3">
        <f>IF(ISNUMBER(P33),SUMIF(A:A,A33,P:P),"")</f>
        <v>0.93110301171208354</v>
      </c>
      <c r="R33" s="3">
        <f t="shared" si="30"/>
        <v>6.9021850213510344E-2</v>
      </c>
      <c r="S33" s="7">
        <f t="shared" si="31"/>
        <v>14.488165659231486</v>
      </c>
    </row>
    <row r="34" spans="1:19" x14ac:dyDescent="0.3">
      <c r="A34" s="1">
        <v>12</v>
      </c>
      <c r="B34" s="5">
        <v>0.72916666666666663</v>
      </c>
      <c r="C34" s="1" t="s">
        <v>47</v>
      </c>
      <c r="D34" s="1">
        <v>6</v>
      </c>
      <c r="E34" s="1">
        <v>7</v>
      </c>
      <c r="F34" s="1" t="s">
        <v>40</v>
      </c>
      <c r="G34" s="1">
        <v>47.37</v>
      </c>
      <c r="H34" s="1">
        <f>1+COUNTIFS(A:A,A34,G:G,"&gt;"&amp;G34)</f>
        <v>8</v>
      </c>
      <c r="I34" s="2">
        <f>AVERAGEIF(A:A,A34,G:G)</f>
        <v>49.539999999999992</v>
      </c>
      <c r="J34" s="2">
        <f t="shared" si="24"/>
        <v>-2.1699999999999946</v>
      </c>
      <c r="K34" s="2">
        <f t="shared" si="25"/>
        <v>87.830000000000013</v>
      </c>
      <c r="L34" s="2">
        <f t="shared" si="26"/>
        <v>194.37708314096395</v>
      </c>
      <c r="M34" s="2">
        <f>SUMIF(A:A,A34,L:L)</f>
        <v>3142.9512193659962</v>
      </c>
      <c r="N34" s="3">
        <f t="shared" si="27"/>
        <v>6.1845402481357684E-2</v>
      </c>
      <c r="O34" s="6">
        <f t="shared" si="28"/>
        <v>16.169350669218041</v>
      </c>
      <c r="P34" s="3">
        <f t="shared" si="29"/>
        <v>6.1845402481357684E-2</v>
      </c>
      <c r="Q34" s="3">
        <f>IF(ISNUMBER(P34),SUMIF(A:A,A34,P:P),"")</f>
        <v>0.93110301171208354</v>
      </c>
      <c r="R34" s="3">
        <f t="shared" si="30"/>
        <v>6.6421654428588148E-2</v>
      </c>
      <c r="S34" s="7">
        <f t="shared" si="31"/>
        <v>15.055331105537714</v>
      </c>
    </row>
    <row r="35" spans="1:19" x14ac:dyDescent="0.3">
      <c r="A35" s="1">
        <v>12</v>
      </c>
      <c r="B35" s="5">
        <v>0.72916666666666663</v>
      </c>
      <c r="C35" s="1" t="s">
        <v>47</v>
      </c>
      <c r="D35" s="1">
        <v>6</v>
      </c>
      <c r="E35" s="1">
        <v>3</v>
      </c>
      <c r="F35" s="1" t="s">
        <v>37</v>
      </c>
      <c r="G35" s="1">
        <v>36.39</v>
      </c>
      <c r="H35" s="1">
        <f>1+COUNTIFS(A:A,A35,G:G,"&gt;"&amp;G35)</f>
        <v>9</v>
      </c>
      <c r="I35" s="2">
        <f>AVERAGEIF(A:A,A35,G:G)</f>
        <v>49.539999999999992</v>
      </c>
      <c r="J35" s="2">
        <f t="shared" si="24"/>
        <v>-13.149999999999991</v>
      </c>
      <c r="K35" s="2">
        <f t="shared" si="25"/>
        <v>76.850000000000009</v>
      </c>
      <c r="L35" s="2">
        <f t="shared" si="26"/>
        <v>100.58468404485218</v>
      </c>
      <c r="M35" s="2">
        <f>SUMIF(A:A,A35,L:L)</f>
        <v>3142.9512193659962</v>
      </c>
      <c r="N35" s="3">
        <f t="shared" si="27"/>
        <v>3.200325968315295E-2</v>
      </c>
      <c r="O35" s="6">
        <f t="shared" si="28"/>
        <v>31.24681703990349</v>
      </c>
      <c r="P35" s="3" t="str">
        <f t="shared" si="29"/>
        <v/>
      </c>
      <c r="Q35" s="3" t="str">
        <f>IF(ISNUMBER(P35),SUMIF(A:A,A35,P:P),"")</f>
        <v/>
      </c>
      <c r="R35" s="3" t="str">
        <f t="shared" si="30"/>
        <v/>
      </c>
      <c r="S35" s="7" t="str">
        <f t="shared" si="31"/>
        <v/>
      </c>
    </row>
    <row r="36" spans="1:19" x14ac:dyDescent="0.3">
      <c r="A36" s="1">
        <v>12</v>
      </c>
      <c r="B36" s="5">
        <v>0.72916666666666663</v>
      </c>
      <c r="C36" s="1" t="s">
        <v>47</v>
      </c>
      <c r="D36" s="1">
        <v>6</v>
      </c>
      <c r="E36" s="1">
        <v>15</v>
      </c>
      <c r="F36" s="1" t="s">
        <v>46</v>
      </c>
      <c r="G36" s="1">
        <v>27.5</v>
      </c>
      <c r="H36" s="1">
        <f>1+COUNTIFS(A:A,A36,G:G,"&gt;"&amp;G36)</f>
        <v>10</v>
      </c>
      <c r="I36" s="2">
        <f>AVERAGEIF(A:A,A36,G:G)</f>
        <v>49.539999999999992</v>
      </c>
      <c r="J36" s="2">
        <f t="shared" si="24"/>
        <v>-22.039999999999992</v>
      </c>
      <c r="K36" s="2">
        <f t="shared" si="25"/>
        <v>67.960000000000008</v>
      </c>
      <c r="L36" s="2">
        <f t="shared" si="26"/>
        <v>59.003690925006296</v>
      </c>
      <c r="M36" s="2">
        <f>SUMIF(A:A,A36,L:L)</f>
        <v>3142.9512193659962</v>
      </c>
      <c r="N36" s="3">
        <f t="shared" si="27"/>
        <v>1.8773339707419533E-2</v>
      </c>
      <c r="O36" s="6">
        <f t="shared" si="28"/>
        <v>53.267027368858805</v>
      </c>
      <c r="P36" s="3" t="str">
        <f t="shared" si="29"/>
        <v/>
      </c>
      <c r="Q36" s="3" t="str">
        <f>IF(ISNUMBER(P36),SUMIF(A:A,A36,P:P),"")</f>
        <v/>
      </c>
      <c r="R36" s="3" t="str">
        <f t="shared" si="30"/>
        <v/>
      </c>
      <c r="S36" s="7" t="str">
        <f t="shared" si="31"/>
        <v/>
      </c>
    </row>
    <row r="37" spans="1:19" x14ac:dyDescent="0.3">
      <c r="A37" s="1">
        <v>12</v>
      </c>
      <c r="B37" s="5">
        <v>0.72916666666666663</v>
      </c>
      <c r="C37" s="1" t="s">
        <v>47</v>
      </c>
      <c r="D37" s="1">
        <v>6</v>
      </c>
      <c r="E37" s="1">
        <v>11</v>
      </c>
      <c r="F37" s="1" t="s">
        <v>44</v>
      </c>
      <c r="G37" s="1">
        <v>26.91</v>
      </c>
      <c r="H37" s="1">
        <f>1+COUNTIFS(A:A,A37,G:G,"&gt;"&amp;G37)</f>
        <v>11</v>
      </c>
      <c r="I37" s="2">
        <f>AVERAGEIF(A:A,A37,G:G)</f>
        <v>49.539999999999992</v>
      </c>
      <c r="J37" s="2">
        <f t="shared" si="24"/>
        <v>-22.629999999999992</v>
      </c>
      <c r="K37" s="2">
        <f t="shared" si="25"/>
        <v>67.37</v>
      </c>
      <c r="L37" s="2">
        <f t="shared" si="26"/>
        <v>56.951498380293962</v>
      </c>
      <c r="M37" s="2">
        <f>SUMIF(A:A,A37,L:L)</f>
        <v>3142.9512193659962</v>
      </c>
      <c r="N37" s="3">
        <f t="shared" si="27"/>
        <v>1.8120388897344183E-2</v>
      </c>
      <c r="O37" s="6">
        <f t="shared" si="28"/>
        <v>55.186453539447221</v>
      </c>
      <c r="P37" s="3" t="str">
        <f t="shared" si="29"/>
        <v/>
      </c>
      <c r="Q37" s="3" t="str">
        <f>IF(ISNUMBER(P37),SUMIF(A:A,A37,P:P),"")</f>
        <v/>
      </c>
      <c r="R37" s="3" t="str">
        <f t="shared" si="30"/>
        <v/>
      </c>
      <c r="S37" s="7" t="str">
        <f t="shared" si="31"/>
        <v/>
      </c>
    </row>
  </sheetData>
  <autoFilter ref="A7:S25" xr:uid="{00000000-0009-0000-0000-000000000000}"/>
  <sortState xmlns:xlrd2="http://schemas.microsoft.com/office/spreadsheetml/2017/richdata2" ref="A8:T37">
    <sortCondition ref="B8:B37"/>
    <sortCondition ref="H8:H37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7:G1048576 G7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6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22112022 - Newcastle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2022-11-21T22:19:55Z</cp:lastPrinted>
  <dcterms:created xsi:type="dcterms:W3CDTF">2016-03-11T05:58:01Z</dcterms:created>
  <dcterms:modified xsi:type="dcterms:W3CDTF">2022-11-21T22:21:30Z</dcterms:modified>
</cp:coreProperties>
</file>