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0EA3612B-1277-451A-828E-4F86D89BBFB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BR 25102022 - Warracknabeal" sheetId="1" r:id="rId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2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2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'DBR 25102022 - Warracknabeal'!$A$7:$S$16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6" i="1" l="1"/>
  <c r="I26" i="1"/>
  <c r="J26" i="1" s="1"/>
  <c r="K26" i="1" s="1"/>
  <c r="L26" i="1" s="1"/>
  <c r="H29" i="1"/>
  <c r="I29" i="1"/>
  <c r="J29" i="1" s="1"/>
  <c r="K29" i="1" s="1"/>
  <c r="L29" i="1" s="1"/>
  <c r="H27" i="1"/>
  <c r="I27" i="1"/>
  <c r="J27" i="1" s="1"/>
  <c r="K27" i="1" s="1"/>
  <c r="L27" i="1" s="1"/>
  <c r="H25" i="1"/>
  <c r="I25" i="1"/>
  <c r="J25" i="1" s="1"/>
  <c r="K25" i="1" s="1"/>
  <c r="L25" i="1" s="1"/>
  <c r="H30" i="1"/>
  <c r="I30" i="1"/>
  <c r="J30" i="1" s="1"/>
  <c r="K30" i="1" s="1"/>
  <c r="L30" i="1" s="1"/>
  <c r="H28" i="1"/>
  <c r="I28" i="1"/>
  <c r="J28" i="1" s="1"/>
  <c r="K28" i="1" s="1"/>
  <c r="L28" i="1" s="1"/>
  <c r="H23" i="1"/>
  <c r="I23" i="1"/>
  <c r="J23" i="1" s="1"/>
  <c r="K23" i="1" s="1"/>
  <c r="L23" i="1" s="1"/>
  <c r="H10" i="1"/>
  <c r="I10" i="1"/>
  <c r="J10" i="1" s="1"/>
  <c r="K10" i="1" s="1"/>
  <c r="L10" i="1" s="1"/>
  <c r="H8" i="1"/>
  <c r="I8" i="1"/>
  <c r="J8" i="1" s="1"/>
  <c r="K8" i="1" s="1"/>
  <c r="L8" i="1" s="1"/>
  <c r="H9" i="1"/>
  <c r="I9" i="1"/>
  <c r="J9" i="1" s="1"/>
  <c r="K9" i="1" s="1"/>
  <c r="L9" i="1" s="1"/>
  <c r="H11" i="1"/>
  <c r="I11" i="1"/>
  <c r="J11" i="1" s="1"/>
  <c r="K11" i="1" s="1"/>
  <c r="L11" i="1" s="1"/>
  <c r="H13" i="1"/>
  <c r="I13" i="1"/>
  <c r="J13" i="1" s="1"/>
  <c r="K13" i="1" s="1"/>
  <c r="L13" i="1" s="1"/>
  <c r="H15" i="1"/>
  <c r="I15" i="1"/>
  <c r="J15" i="1" s="1"/>
  <c r="K15" i="1" s="1"/>
  <c r="L15" i="1" s="1"/>
  <c r="H14" i="1"/>
  <c r="I14" i="1"/>
  <c r="J14" i="1" s="1"/>
  <c r="K14" i="1" s="1"/>
  <c r="L14" i="1" s="1"/>
  <c r="H16" i="1"/>
  <c r="I16" i="1"/>
  <c r="J16" i="1" s="1"/>
  <c r="K16" i="1" s="1"/>
  <c r="L16" i="1" s="1"/>
  <c r="H19" i="1"/>
  <c r="I19" i="1"/>
  <c r="J19" i="1" s="1"/>
  <c r="K19" i="1" s="1"/>
  <c r="L19" i="1" s="1"/>
  <c r="H20" i="1"/>
  <c r="I20" i="1"/>
  <c r="J20" i="1" s="1"/>
  <c r="K20" i="1" s="1"/>
  <c r="L20" i="1" s="1"/>
  <c r="H22" i="1"/>
  <c r="I22" i="1"/>
  <c r="J22" i="1" s="1"/>
  <c r="K22" i="1" s="1"/>
  <c r="L22" i="1" s="1"/>
  <c r="H18" i="1"/>
  <c r="I18" i="1"/>
  <c r="J18" i="1" s="1"/>
  <c r="K18" i="1" s="1"/>
  <c r="L18" i="1" s="1"/>
  <c r="H21" i="1"/>
  <c r="I21" i="1"/>
  <c r="J21" i="1" s="1"/>
  <c r="K21" i="1" s="1"/>
  <c r="L21" i="1" s="1"/>
  <c r="M26" i="1" l="1"/>
  <c r="N26" i="1" s="1"/>
  <c r="O26" i="1" s="1"/>
  <c r="P26" i="1" s="1"/>
  <c r="M27" i="1"/>
  <c r="N27" i="1" s="1"/>
  <c r="O27" i="1" s="1"/>
  <c r="P27" i="1" s="1"/>
  <c r="M28" i="1"/>
  <c r="N28" i="1" s="1"/>
  <c r="O28" i="1" s="1"/>
  <c r="P28" i="1" s="1"/>
  <c r="M29" i="1"/>
  <c r="N29" i="1" s="1"/>
  <c r="O29" i="1" s="1"/>
  <c r="P29" i="1" s="1"/>
  <c r="M30" i="1"/>
  <c r="N30" i="1" s="1"/>
  <c r="O30" i="1" s="1"/>
  <c r="P30" i="1" s="1"/>
  <c r="M25" i="1"/>
  <c r="N25" i="1" s="1"/>
  <c r="O25" i="1" s="1"/>
  <c r="P25" i="1" s="1"/>
  <c r="M23" i="1"/>
  <c r="N23" i="1" s="1"/>
  <c r="O23" i="1" s="1"/>
  <c r="P23" i="1" s="1"/>
  <c r="M18" i="1"/>
  <c r="N18" i="1" s="1"/>
  <c r="O18" i="1" s="1"/>
  <c r="P18" i="1" s="1"/>
  <c r="M20" i="1"/>
  <c r="N20" i="1" s="1"/>
  <c r="O20" i="1" s="1"/>
  <c r="P20" i="1" s="1"/>
  <c r="M21" i="1"/>
  <c r="N21" i="1" s="1"/>
  <c r="O21" i="1" s="1"/>
  <c r="P21" i="1" s="1"/>
  <c r="M22" i="1"/>
  <c r="N22" i="1" s="1"/>
  <c r="O22" i="1" s="1"/>
  <c r="P22" i="1" s="1"/>
  <c r="M19" i="1"/>
  <c r="N19" i="1" s="1"/>
  <c r="O19" i="1" s="1"/>
  <c r="P19" i="1" s="1"/>
  <c r="M14" i="1"/>
  <c r="N14" i="1" s="1"/>
  <c r="O14" i="1" s="1"/>
  <c r="P14" i="1" s="1"/>
  <c r="M16" i="1"/>
  <c r="N16" i="1" s="1"/>
  <c r="O16" i="1" s="1"/>
  <c r="P16" i="1" s="1"/>
  <c r="M15" i="1"/>
  <c r="N15" i="1" s="1"/>
  <c r="O15" i="1" s="1"/>
  <c r="P15" i="1" s="1"/>
  <c r="M13" i="1"/>
  <c r="N13" i="1" s="1"/>
  <c r="O13" i="1" s="1"/>
  <c r="P13" i="1" s="1"/>
  <c r="M8" i="1"/>
  <c r="N8" i="1" s="1"/>
  <c r="O8" i="1" s="1"/>
  <c r="P8" i="1" s="1"/>
  <c r="M9" i="1"/>
  <c r="N9" i="1" s="1"/>
  <c r="O9" i="1" s="1"/>
  <c r="P9" i="1" s="1"/>
  <c r="M11" i="1"/>
  <c r="N11" i="1" s="1"/>
  <c r="O11" i="1" s="1"/>
  <c r="P11" i="1" s="1"/>
  <c r="M10" i="1"/>
  <c r="N10" i="1" s="1"/>
  <c r="O10" i="1" s="1"/>
  <c r="P10" i="1" s="1"/>
  <c r="Q25" i="1" l="1"/>
  <c r="R25" i="1" s="1"/>
  <c r="S25" i="1" s="1"/>
  <c r="Q30" i="1"/>
  <c r="R30" i="1" s="1"/>
  <c r="S30" i="1" s="1"/>
  <c r="Q28" i="1"/>
  <c r="R28" i="1" s="1"/>
  <c r="S28" i="1" s="1"/>
  <c r="Q26" i="1"/>
  <c r="R26" i="1" s="1"/>
  <c r="S26" i="1" s="1"/>
  <c r="Q29" i="1"/>
  <c r="R29" i="1" s="1"/>
  <c r="S29" i="1" s="1"/>
  <c r="Q27" i="1"/>
  <c r="R27" i="1" s="1"/>
  <c r="S27" i="1" s="1"/>
  <c r="Q23" i="1"/>
  <c r="R23" i="1" s="1"/>
  <c r="S23" i="1" s="1"/>
  <c r="Q21" i="1"/>
  <c r="R21" i="1" s="1"/>
  <c r="S21" i="1" s="1"/>
  <c r="Q20" i="1"/>
  <c r="R20" i="1" s="1"/>
  <c r="S20" i="1" s="1"/>
  <c r="Q18" i="1"/>
  <c r="R18" i="1" s="1"/>
  <c r="S18" i="1" s="1"/>
  <c r="Q22" i="1"/>
  <c r="R22" i="1" s="1"/>
  <c r="S22" i="1" s="1"/>
  <c r="Q19" i="1"/>
  <c r="R19" i="1" s="1"/>
  <c r="S19" i="1" s="1"/>
  <c r="Q9" i="1"/>
  <c r="R9" i="1" s="1"/>
  <c r="S9" i="1" s="1"/>
  <c r="Q8" i="1"/>
  <c r="R8" i="1" s="1"/>
  <c r="S8" i="1" s="1"/>
  <c r="Q11" i="1"/>
  <c r="R11" i="1" s="1"/>
  <c r="S11" i="1" s="1"/>
  <c r="Q10" i="1"/>
  <c r="R10" i="1" s="1"/>
  <c r="S10" i="1" s="1"/>
  <c r="Q14" i="1"/>
  <c r="R14" i="1" s="1"/>
  <c r="S14" i="1" s="1"/>
  <c r="Q13" i="1"/>
  <c r="R13" i="1" s="1"/>
  <c r="S13" i="1" s="1"/>
  <c r="Q16" i="1"/>
  <c r="R16" i="1" s="1"/>
  <c r="S16" i="1" s="1"/>
  <c r="Q15" i="1"/>
  <c r="R15" i="1" s="1"/>
  <c r="S15" i="1" s="1"/>
</calcChain>
</file>

<file path=xl/sharedStrings.xml><?xml version="1.0" encoding="utf-8"?>
<sst xmlns="http://schemas.openxmlformats.org/spreadsheetml/2006/main" count="59" uniqueCount="40">
  <si>
    <t>RaceID</t>
  </si>
  <si>
    <t>Time</t>
  </si>
  <si>
    <t>Track</t>
  </si>
  <si>
    <t>RN</t>
  </si>
  <si>
    <t>TN</t>
  </si>
  <si>
    <t>Horse</t>
  </si>
  <si>
    <t>Rating</t>
  </si>
  <si>
    <t>Rank</t>
  </si>
  <si>
    <t>Average</t>
  </si>
  <si>
    <t>Margin</t>
  </si>
  <si>
    <t>NormRating</t>
  </si>
  <si>
    <t>EXP</t>
  </si>
  <si>
    <t>SUM</t>
  </si>
  <si>
    <t>PROB</t>
  </si>
  <si>
    <t>PRICE</t>
  </si>
  <si>
    <t>PROB_TRANS</t>
  </si>
  <si>
    <t>MODEL_SUM</t>
  </si>
  <si>
    <t>RAW_PROB</t>
  </si>
  <si>
    <t>Price</t>
  </si>
  <si>
    <t>Warracknabeal</t>
  </si>
  <si>
    <t xml:space="preserve">Upswing             </t>
  </si>
  <si>
    <t xml:space="preserve">Category Five       </t>
  </si>
  <si>
    <t xml:space="preserve">Tavabeel            </t>
  </si>
  <si>
    <t xml:space="preserve">The Yachtsman       </t>
  </si>
  <si>
    <t xml:space="preserve">Rutilant            </t>
  </si>
  <si>
    <t xml:space="preserve">Abseiler            </t>
  </si>
  <si>
    <t xml:space="preserve">Missed The Mark     </t>
  </si>
  <si>
    <t xml:space="preserve">Rippa Buzz          </t>
  </si>
  <si>
    <t xml:space="preserve">Strike Eagle        </t>
  </si>
  <si>
    <t xml:space="preserve">Watch Hill          </t>
  </si>
  <si>
    <t xml:space="preserve">Buchan Hoaks        </t>
  </si>
  <si>
    <t xml:space="preserve">Tern And Go         </t>
  </si>
  <si>
    <t xml:space="preserve">Time Ruler          </t>
  </si>
  <si>
    <t xml:space="preserve">Toojay              </t>
  </si>
  <si>
    <t xml:space="preserve">Cadboll             </t>
  </si>
  <si>
    <t xml:space="preserve">French Fields       </t>
  </si>
  <si>
    <t xml:space="preserve">Shes The Sheriff    </t>
  </si>
  <si>
    <t xml:space="preserve">Tom The Star        </t>
  </si>
  <si>
    <t xml:space="preserve">Gojazz              </t>
  </si>
  <si>
    <t xml:space="preserve">Highway To Success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</si>
</sst>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11" xfId="0" applyFont="1" applyBorder="1" applyAlignment="1">
      <alignment horizontal="center"/>
    </xf>
    <xf numFmtId="2" fontId="18" fillId="0" borderId="11" xfId="0" applyNumberFormat="1" applyFont="1" applyBorder="1" applyAlignment="1">
      <alignment horizontal="center"/>
    </xf>
    <xf numFmtId="2" fontId="18" fillId="0" borderId="11" xfId="43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20" fontId="18" fillId="0" borderId="11" xfId="0" applyNumberFormat="1" applyFont="1" applyBorder="1" applyAlignment="1">
      <alignment horizontal="center"/>
    </xf>
    <xf numFmtId="2" fontId="18" fillId="0" borderId="11" xfId="1" applyNumberFormat="1" applyFont="1" applyBorder="1" applyAlignment="1">
      <alignment horizontal="center"/>
    </xf>
    <xf numFmtId="164" fontId="18" fillId="0" borderId="11" xfId="1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0" borderId="0" xfId="43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52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1 2" xfId="46" xr:uid="{00000000-0005-0000-0000-00000D000000}"/>
    <cellStyle name="60% - Accent2" xfId="26" builtinId="36" customBuiltin="1"/>
    <cellStyle name="60% - Accent2 2" xfId="47" xr:uid="{00000000-0005-0000-0000-00000F000000}"/>
    <cellStyle name="60% - Accent3" xfId="30" builtinId="40" customBuiltin="1"/>
    <cellStyle name="60% - Accent3 2" xfId="48" xr:uid="{00000000-0005-0000-0000-000011000000}"/>
    <cellStyle name="60% - Accent4" xfId="34" builtinId="44" customBuiltin="1"/>
    <cellStyle name="60% - Accent4 2" xfId="49" xr:uid="{00000000-0005-0000-0000-000013000000}"/>
    <cellStyle name="60% - Accent5" xfId="38" builtinId="48" customBuiltin="1"/>
    <cellStyle name="60% - Accent5 2" xfId="50" xr:uid="{00000000-0005-0000-0000-000015000000}"/>
    <cellStyle name="60% - Accent6" xfId="42" builtinId="52" customBuiltin="1"/>
    <cellStyle name="60% - Accent6 2" xfId="51" xr:uid="{00000000-0005-0000-0000-00001700000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44" xr:uid="{00000000-0005-0000-0000-000022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eutral 2" xfId="45" xr:uid="{00000000-0005-0000-0000-00002C000000}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championbets.com.au/bet/mz8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45720</xdr:colOff>
      <xdr:row>6</xdr:row>
      <xdr:rowOff>2140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A557C3-6900-95F5-AFDB-8D166B7A1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04660" cy="10994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7:S30"/>
  <sheetViews>
    <sheetView tabSelected="1" topLeftCell="B1" zoomScaleNormal="100" workbookViewId="0">
      <pane ySplit="7" topLeftCell="A8" activePane="bottomLeft" state="frozen"/>
      <selection activeCell="B1" sqref="B1"/>
      <selection pane="bottomLeft" activeCell="U15" sqref="U15"/>
    </sheetView>
  </sheetViews>
  <sheetFormatPr defaultColWidth="8.88671875" defaultRowHeight="14.4" x14ac:dyDescent="0.3"/>
  <cols>
    <col min="1" max="1" width="10.33203125" style="9" hidden="1" customWidth="1"/>
    <col min="2" max="2" width="8.44140625" style="9" bestFit="1" customWidth="1"/>
    <col min="3" max="3" width="17.109375" style="9" bestFit="1" customWidth="1"/>
    <col min="4" max="4" width="6.44140625" style="9" bestFit="1" customWidth="1"/>
    <col min="5" max="5" width="6.33203125" style="9" bestFit="1" customWidth="1"/>
    <col min="6" max="6" width="24.5546875" style="9" bestFit="1" customWidth="1"/>
    <col min="7" max="7" width="13.33203125" style="10" customWidth="1"/>
    <col min="8" max="8" width="8" style="10" bestFit="1" customWidth="1"/>
    <col min="9" max="9" width="10.88671875" style="10" hidden="1" customWidth="1"/>
    <col min="10" max="10" width="9.44140625" style="10" hidden="1" customWidth="1"/>
    <col min="11" max="11" width="14" style="10" hidden="1" customWidth="1"/>
    <col min="12" max="13" width="7.44140625" style="10" hidden="1" customWidth="1"/>
    <col min="14" max="14" width="8.44140625" style="11" hidden="1" customWidth="1"/>
    <col min="15" max="15" width="8.88671875" style="10" hidden="1" customWidth="1"/>
    <col min="16" max="16" width="16" style="10" hidden="1" customWidth="1"/>
    <col min="17" max="17" width="15" style="10" hidden="1" customWidth="1"/>
    <col min="18" max="18" width="14" style="10" hidden="1" customWidth="1"/>
    <col min="19" max="19" width="14.33203125" style="12" bestFit="1" customWidth="1"/>
    <col min="20" max="16384" width="8.88671875" style="8"/>
  </cols>
  <sheetData>
    <row r="7" spans="1:19" s="4" customFormat="1" x14ac:dyDescent="0.3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2" t="s">
        <v>7</v>
      </c>
      <c r="I7" s="2" t="s">
        <v>8</v>
      </c>
      <c r="J7" s="2" t="s">
        <v>9</v>
      </c>
      <c r="K7" s="2" t="s">
        <v>10</v>
      </c>
      <c r="L7" s="2" t="s">
        <v>11</v>
      </c>
      <c r="M7" s="2" t="s">
        <v>12</v>
      </c>
      <c r="N7" s="3" t="s">
        <v>13</v>
      </c>
      <c r="O7" s="2" t="s">
        <v>14</v>
      </c>
      <c r="P7" s="2" t="s">
        <v>15</v>
      </c>
      <c r="Q7" s="2" t="s">
        <v>16</v>
      </c>
      <c r="R7" s="2" t="s">
        <v>17</v>
      </c>
      <c r="S7" s="1" t="s">
        <v>18</v>
      </c>
    </row>
    <row r="8" spans="1:19" x14ac:dyDescent="0.3">
      <c r="A8" s="1">
        <v>4</v>
      </c>
      <c r="B8" s="5">
        <v>0.64583333333333337</v>
      </c>
      <c r="C8" s="1" t="s">
        <v>19</v>
      </c>
      <c r="D8" s="1">
        <v>5</v>
      </c>
      <c r="E8" s="1">
        <v>3</v>
      </c>
      <c r="F8" s="1" t="s">
        <v>21</v>
      </c>
      <c r="G8" s="1">
        <v>59.02</v>
      </c>
      <c r="H8" s="1">
        <f>1+COUNTIFS(A:A,A8,G:G,"&gt;"&amp;G8)</f>
        <v>1</v>
      </c>
      <c r="I8" s="2">
        <f>AVERAGEIF(A:A,A8,G:G)</f>
        <v>46.972499999999997</v>
      </c>
      <c r="J8" s="2">
        <f t="shared" ref="J8:J11" si="0">G8-I8</f>
        <v>12.047500000000007</v>
      </c>
      <c r="K8" s="2">
        <f t="shared" ref="K8:K11" si="1">90+J8</f>
        <v>102.04750000000001</v>
      </c>
      <c r="L8" s="2">
        <f t="shared" ref="L8:L11" si="2">EXP(0.06*K8)</f>
        <v>456.16290795429381</v>
      </c>
      <c r="M8" s="2">
        <f>SUMIF(A:A,A8,L:L)</f>
        <v>1011.1587403595902</v>
      </c>
      <c r="N8" s="3">
        <f t="shared" ref="N8:N11" si="3">L8/M8</f>
        <v>0.4511288779366851</v>
      </c>
      <c r="O8" s="6">
        <f t="shared" ref="O8:O11" si="4">1/N8</f>
        <v>2.21666146617275</v>
      </c>
      <c r="P8" s="3">
        <f t="shared" ref="P8:P11" si="5">IF(O8&gt;21,"",N8)</f>
        <v>0.4511288779366851</v>
      </c>
      <c r="Q8" s="3">
        <f>IF(ISNUMBER(P8),SUMIF(A:A,A8,P:P),"")</f>
        <v>1</v>
      </c>
      <c r="R8" s="3">
        <f t="shared" ref="R8:R11" si="6">IFERROR(P8*(1/Q8),"")</f>
        <v>0.4511288779366851</v>
      </c>
      <c r="S8" s="7">
        <f t="shared" ref="S8:S11" si="7">IFERROR(1/R8,"")</f>
        <v>2.21666146617275</v>
      </c>
    </row>
    <row r="9" spans="1:19" x14ac:dyDescent="0.3">
      <c r="A9" s="1">
        <v>4</v>
      </c>
      <c r="B9" s="5">
        <v>0.64583333333333337</v>
      </c>
      <c r="C9" s="1" t="s">
        <v>19</v>
      </c>
      <c r="D9" s="1">
        <v>5</v>
      </c>
      <c r="E9" s="1">
        <v>5</v>
      </c>
      <c r="F9" s="1" t="s">
        <v>22</v>
      </c>
      <c r="G9" s="1">
        <v>47.32</v>
      </c>
      <c r="H9" s="1">
        <f>1+COUNTIFS(A:A,A9,G:G,"&gt;"&amp;G9)</f>
        <v>2</v>
      </c>
      <c r="I9" s="2">
        <f>AVERAGEIF(A:A,A9,G:G)</f>
        <v>46.972499999999997</v>
      </c>
      <c r="J9" s="2">
        <f t="shared" si="0"/>
        <v>0.34750000000000369</v>
      </c>
      <c r="K9" s="2">
        <f t="shared" si="1"/>
        <v>90.347499999999997</v>
      </c>
      <c r="L9" s="2">
        <f t="shared" si="2"/>
        <v>226.07120137811754</v>
      </c>
      <c r="M9" s="2">
        <f>SUMIF(A:A,A9,L:L)</f>
        <v>1011.1587403595902</v>
      </c>
      <c r="N9" s="3">
        <f t="shared" si="3"/>
        <v>0.22357637070686021</v>
      </c>
      <c r="O9" s="6">
        <f t="shared" si="4"/>
        <v>4.4727445786797366</v>
      </c>
      <c r="P9" s="3">
        <f t="shared" si="5"/>
        <v>0.22357637070686021</v>
      </c>
      <c r="Q9" s="3">
        <f>IF(ISNUMBER(P9),SUMIF(A:A,A9,P:P),"")</f>
        <v>1</v>
      </c>
      <c r="R9" s="3">
        <f t="shared" si="6"/>
        <v>0.22357637070686021</v>
      </c>
      <c r="S9" s="7">
        <f t="shared" si="7"/>
        <v>4.4727445786797366</v>
      </c>
    </row>
    <row r="10" spans="1:19" x14ac:dyDescent="0.3">
      <c r="A10" s="1">
        <v>4</v>
      </c>
      <c r="B10" s="5">
        <v>0.64583333333333337</v>
      </c>
      <c r="C10" s="1" t="s">
        <v>19</v>
      </c>
      <c r="D10" s="1">
        <v>5</v>
      </c>
      <c r="E10" s="1">
        <v>1</v>
      </c>
      <c r="F10" s="1" t="s">
        <v>20</v>
      </c>
      <c r="G10" s="1">
        <v>47.29</v>
      </c>
      <c r="H10" s="1">
        <f>1+COUNTIFS(A:A,A10,G:G,"&gt;"&amp;G10)</f>
        <v>3</v>
      </c>
      <c r="I10" s="2">
        <f>AVERAGEIF(A:A,A10,G:G)</f>
        <v>46.972499999999997</v>
      </c>
      <c r="J10" s="2">
        <f t="shared" si="0"/>
        <v>0.31750000000000256</v>
      </c>
      <c r="K10" s="2">
        <f t="shared" si="1"/>
        <v>90.317499999999995</v>
      </c>
      <c r="L10" s="2">
        <f t="shared" si="2"/>
        <v>225.66463923134074</v>
      </c>
      <c r="M10" s="2">
        <f>SUMIF(A:A,A10,L:L)</f>
        <v>1011.1587403595902</v>
      </c>
      <c r="N10" s="3">
        <f t="shared" si="3"/>
        <v>0.22317429521608986</v>
      </c>
      <c r="O10" s="6">
        <f t="shared" si="4"/>
        <v>4.4808027691170436</v>
      </c>
      <c r="P10" s="3">
        <f t="shared" si="5"/>
        <v>0.22317429521608986</v>
      </c>
      <c r="Q10" s="3">
        <f>IF(ISNUMBER(P10),SUMIF(A:A,A10,P:P),"")</f>
        <v>1</v>
      </c>
      <c r="R10" s="3">
        <f t="shared" si="6"/>
        <v>0.22317429521608986</v>
      </c>
      <c r="S10" s="7">
        <f t="shared" si="7"/>
        <v>4.4808027691170436</v>
      </c>
    </row>
    <row r="11" spans="1:19" x14ac:dyDescent="0.3">
      <c r="A11" s="1">
        <v>4</v>
      </c>
      <c r="B11" s="5">
        <v>0.64583333333333337</v>
      </c>
      <c r="C11" s="1" t="s">
        <v>19</v>
      </c>
      <c r="D11" s="1">
        <v>5</v>
      </c>
      <c r="E11" s="1">
        <v>8</v>
      </c>
      <c r="F11" s="1" t="s">
        <v>23</v>
      </c>
      <c r="G11" s="1">
        <v>34.26</v>
      </c>
      <c r="H11" s="1">
        <f>1+COUNTIFS(A:A,A11,G:G,"&gt;"&amp;G11)</f>
        <v>4</v>
      </c>
      <c r="I11" s="2">
        <f>AVERAGEIF(A:A,A11,G:G)</f>
        <v>46.972499999999997</v>
      </c>
      <c r="J11" s="2">
        <f t="shared" si="0"/>
        <v>-12.712499999999999</v>
      </c>
      <c r="K11" s="2">
        <f t="shared" si="1"/>
        <v>77.287499999999994</v>
      </c>
      <c r="L11" s="2">
        <f t="shared" si="2"/>
        <v>103.2599917958381</v>
      </c>
      <c r="M11" s="2">
        <f>SUMIF(A:A,A11,L:L)</f>
        <v>1011.1587403595902</v>
      </c>
      <c r="N11" s="3">
        <f t="shared" si="3"/>
        <v>0.10212045614036486</v>
      </c>
      <c r="O11" s="6">
        <f t="shared" si="4"/>
        <v>9.7923573571341791</v>
      </c>
      <c r="P11" s="3">
        <f t="shared" si="5"/>
        <v>0.10212045614036486</v>
      </c>
      <c r="Q11" s="3">
        <f>IF(ISNUMBER(P11),SUMIF(A:A,A11,P:P),"")</f>
        <v>1</v>
      </c>
      <c r="R11" s="3">
        <f t="shared" si="6"/>
        <v>0.10212045614036486</v>
      </c>
      <c r="S11" s="7">
        <f t="shared" si="7"/>
        <v>9.7923573571341791</v>
      </c>
    </row>
    <row r="12" spans="1:19" x14ac:dyDescent="0.3">
      <c r="A12" s="1"/>
      <c r="B12" s="5"/>
      <c r="C12" s="1"/>
      <c r="D12" s="1"/>
      <c r="E12" s="1"/>
      <c r="F12" s="1"/>
      <c r="G12" s="1"/>
      <c r="H12" s="1"/>
      <c r="I12" s="2"/>
      <c r="J12" s="2"/>
      <c r="K12" s="2"/>
      <c r="L12" s="2"/>
      <c r="M12" s="2"/>
      <c r="N12" s="3"/>
      <c r="O12" s="6"/>
      <c r="P12" s="3"/>
      <c r="Q12" s="3"/>
      <c r="R12" s="3"/>
      <c r="S12" s="7"/>
    </row>
    <row r="13" spans="1:19" x14ac:dyDescent="0.3">
      <c r="A13" s="1">
        <v>7</v>
      </c>
      <c r="B13" s="5">
        <v>0.66666666666666663</v>
      </c>
      <c r="C13" s="1" t="s">
        <v>19</v>
      </c>
      <c r="D13" s="1">
        <v>6</v>
      </c>
      <c r="E13" s="1">
        <v>1</v>
      </c>
      <c r="F13" s="1" t="s">
        <v>24</v>
      </c>
      <c r="G13" s="1">
        <v>58.89</v>
      </c>
      <c r="H13" s="1">
        <f>1+COUNTIFS(A:A,A13,G:G,"&gt;"&amp;G13)</f>
        <v>1</v>
      </c>
      <c r="I13" s="2">
        <f>AVERAGEIF(A:A,A13,G:G)</f>
        <v>50.285000000000004</v>
      </c>
      <c r="J13" s="2">
        <f t="shared" ref="J13:J23" si="8">G13-I13</f>
        <v>8.6049999999999969</v>
      </c>
      <c r="K13" s="2">
        <f t="shared" ref="K13:K23" si="9">90+J13</f>
        <v>98.60499999999999</v>
      </c>
      <c r="L13" s="2">
        <f t="shared" ref="L13:L23" si="10">EXP(0.06*K13)</f>
        <v>371.03633655196563</v>
      </c>
      <c r="M13" s="2">
        <f>SUMIF(A:A,A13,L:L)</f>
        <v>1037.56868333178</v>
      </c>
      <c r="N13" s="3">
        <f t="shared" ref="N13:N23" si="11">L13/M13</f>
        <v>0.35760171110843036</v>
      </c>
      <c r="O13" s="6">
        <f t="shared" ref="O13:O23" si="12">1/N13</f>
        <v>2.7964072009062186</v>
      </c>
      <c r="P13" s="3">
        <f t="shared" ref="P13:P23" si="13">IF(O13&gt;21,"",N13)</f>
        <v>0.35760171110843036</v>
      </c>
      <c r="Q13" s="3">
        <f>IF(ISNUMBER(P13),SUMIF(A:A,A13,P:P),"")</f>
        <v>0.99999999999999989</v>
      </c>
      <c r="R13" s="3">
        <f t="shared" ref="R13:R23" si="14">IFERROR(P13*(1/Q13),"")</f>
        <v>0.35760171110843036</v>
      </c>
      <c r="S13" s="7">
        <f t="shared" ref="S13:S23" si="15">IFERROR(1/R13,"")</f>
        <v>2.7964072009062186</v>
      </c>
    </row>
    <row r="14" spans="1:19" x14ac:dyDescent="0.3">
      <c r="A14" s="1">
        <v>7</v>
      </c>
      <c r="B14" s="5">
        <v>0.66666666666666663</v>
      </c>
      <c r="C14" s="1" t="s">
        <v>19</v>
      </c>
      <c r="D14" s="1">
        <v>6</v>
      </c>
      <c r="E14" s="1">
        <v>3</v>
      </c>
      <c r="F14" s="1" t="s">
        <v>26</v>
      </c>
      <c r="G14" s="1">
        <v>56.5</v>
      </c>
      <c r="H14" s="1">
        <f>1+COUNTIFS(A:A,A14,G:G,"&gt;"&amp;G14)</f>
        <v>2</v>
      </c>
      <c r="I14" s="2">
        <f>AVERAGEIF(A:A,A14,G:G)</f>
        <v>50.285000000000004</v>
      </c>
      <c r="J14" s="2">
        <f t="shared" si="8"/>
        <v>6.2149999999999963</v>
      </c>
      <c r="K14" s="2">
        <f t="shared" si="9"/>
        <v>96.215000000000003</v>
      </c>
      <c r="L14" s="2">
        <f t="shared" si="10"/>
        <v>321.46864123707718</v>
      </c>
      <c r="M14" s="2">
        <f>SUMIF(A:A,A14,L:L)</f>
        <v>1037.56868333178</v>
      </c>
      <c r="N14" s="3">
        <f t="shared" si="11"/>
        <v>0.30982878184487589</v>
      </c>
      <c r="O14" s="6">
        <f t="shared" si="12"/>
        <v>3.2275891027473262</v>
      </c>
      <c r="P14" s="3">
        <f t="shared" si="13"/>
        <v>0.30982878184487589</v>
      </c>
      <c r="Q14" s="3">
        <f>IF(ISNUMBER(P14),SUMIF(A:A,A14,P:P),"")</f>
        <v>0.99999999999999989</v>
      </c>
      <c r="R14" s="3">
        <f t="shared" si="14"/>
        <v>0.30982878184487589</v>
      </c>
      <c r="S14" s="7">
        <f t="shared" si="15"/>
        <v>3.2275891027473262</v>
      </c>
    </row>
    <row r="15" spans="1:19" x14ac:dyDescent="0.3">
      <c r="A15" s="1">
        <v>7</v>
      </c>
      <c r="B15" s="5">
        <v>0.66666666666666663</v>
      </c>
      <c r="C15" s="1" t="s">
        <v>19</v>
      </c>
      <c r="D15" s="1">
        <v>6</v>
      </c>
      <c r="E15" s="1">
        <v>2</v>
      </c>
      <c r="F15" s="1" t="s">
        <v>25</v>
      </c>
      <c r="G15" s="1">
        <v>53.63</v>
      </c>
      <c r="H15" s="1">
        <f>1+COUNTIFS(A:A,A15,G:G,"&gt;"&amp;G15)</f>
        <v>3</v>
      </c>
      <c r="I15" s="2">
        <f>AVERAGEIF(A:A,A15,G:G)</f>
        <v>50.285000000000004</v>
      </c>
      <c r="J15" s="2">
        <f t="shared" si="8"/>
        <v>3.3449999999999989</v>
      </c>
      <c r="K15" s="2">
        <f t="shared" si="9"/>
        <v>93.344999999999999</v>
      </c>
      <c r="L15" s="2">
        <f t="shared" si="10"/>
        <v>270.61577218128281</v>
      </c>
      <c r="M15" s="2">
        <f>SUMIF(A:A,A15,L:L)</f>
        <v>1037.56868333178</v>
      </c>
      <c r="N15" s="3">
        <f t="shared" si="11"/>
        <v>0.2608172129022796</v>
      </c>
      <c r="O15" s="6">
        <f t="shared" si="12"/>
        <v>3.8341027759340025</v>
      </c>
      <c r="P15" s="3">
        <f t="shared" si="13"/>
        <v>0.2608172129022796</v>
      </c>
      <c r="Q15" s="3">
        <f>IF(ISNUMBER(P15),SUMIF(A:A,A15,P:P),"")</f>
        <v>0.99999999999999989</v>
      </c>
      <c r="R15" s="3">
        <f t="shared" si="14"/>
        <v>0.2608172129022796</v>
      </c>
      <c r="S15" s="7">
        <f t="shared" si="15"/>
        <v>3.8341027759340025</v>
      </c>
    </row>
    <row r="16" spans="1:19" x14ac:dyDescent="0.3">
      <c r="A16" s="1">
        <v>7</v>
      </c>
      <c r="B16" s="5">
        <v>0.66666666666666663</v>
      </c>
      <c r="C16" s="1" t="s">
        <v>19</v>
      </c>
      <c r="D16" s="1">
        <v>6</v>
      </c>
      <c r="E16" s="1">
        <v>6</v>
      </c>
      <c r="F16" s="1" t="s">
        <v>27</v>
      </c>
      <c r="G16" s="1">
        <v>32.119999999999997</v>
      </c>
      <c r="H16" s="1">
        <f>1+COUNTIFS(A:A,A16,G:G,"&gt;"&amp;G16)</f>
        <v>4</v>
      </c>
      <c r="I16" s="2">
        <f>AVERAGEIF(A:A,A16,G:G)</f>
        <v>50.285000000000004</v>
      </c>
      <c r="J16" s="2">
        <f t="shared" si="8"/>
        <v>-18.165000000000006</v>
      </c>
      <c r="K16" s="2">
        <f t="shared" si="9"/>
        <v>71.834999999999994</v>
      </c>
      <c r="L16" s="2">
        <f t="shared" si="10"/>
        <v>74.44793336145429</v>
      </c>
      <c r="M16" s="2">
        <f>SUMIF(A:A,A16,L:L)</f>
        <v>1037.56868333178</v>
      </c>
      <c r="N16" s="3">
        <f t="shared" si="11"/>
        <v>7.1752294144414072E-2</v>
      </c>
      <c r="O16" s="6">
        <f t="shared" si="12"/>
        <v>13.936836611625612</v>
      </c>
      <c r="P16" s="3">
        <f t="shared" si="13"/>
        <v>7.1752294144414072E-2</v>
      </c>
      <c r="Q16" s="3">
        <f>IF(ISNUMBER(P16),SUMIF(A:A,A16,P:P),"")</f>
        <v>0.99999999999999989</v>
      </c>
      <c r="R16" s="3">
        <f t="shared" si="14"/>
        <v>7.1752294144414072E-2</v>
      </c>
      <c r="S16" s="7">
        <f t="shared" si="15"/>
        <v>13.936836611625612</v>
      </c>
    </row>
    <row r="17" spans="1:19" x14ac:dyDescent="0.3">
      <c r="A17" s="1"/>
      <c r="B17" s="5"/>
      <c r="C17" s="1"/>
      <c r="D17" s="1"/>
      <c r="E17" s="1"/>
      <c r="F17" s="1"/>
      <c r="G17" s="1"/>
      <c r="H17" s="1"/>
      <c r="I17" s="2"/>
      <c r="J17" s="2"/>
      <c r="K17" s="2"/>
      <c r="L17" s="2"/>
      <c r="M17" s="2"/>
      <c r="N17" s="3"/>
      <c r="O17" s="6"/>
      <c r="P17" s="3"/>
      <c r="Q17" s="3"/>
      <c r="R17" s="3"/>
      <c r="S17" s="7"/>
    </row>
    <row r="18" spans="1:19" x14ac:dyDescent="0.3">
      <c r="A18" s="1">
        <v>11</v>
      </c>
      <c r="B18" s="5">
        <v>0.6875</v>
      </c>
      <c r="C18" s="1" t="s">
        <v>19</v>
      </c>
      <c r="D18" s="1">
        <v>7</v>
      </c>
      <c r="E18" s="1">
        <v>8</v>
      </c>
      <c r="F18" s="1" t="s">
        <v>31</v>
      </c>
      <c r="G18" s="1">
        <v>70.42</v>
      </c>
      <c r="H18" s="1">
        <f>1+COUNTIFS(A:A,A18,G:G,"&gt;"&amp;G18)</f>
        <v>1</v>
      </c>
      <c r="I18" s="2">
        <f>AVERAGEIF(A:A,A18,G:G)</f>
        <v>57.27</v>
      </c>
      <c r="J18" s="2">
        <f t="shared" si="8"/>
        <v>13.149999999999999</v>
      </c>
      <c r="K18" s="2">
        <f t="shared" si="9"/>
        <v>103.15</v>
      </c>
      <c r="L18" s="2">
        <f t="shared" si="10"/>
        <v>487.35850394999164</v>
      </c>
      <c r="M18" s="2">
        <f>SUMIF(A:A,A18,L:L)</f>
        <v>1454.1998041618731</v>
      </c>
      <c r="N18" s="3">
        <f t="shared" si="11"/>
        <v>0.33513861200860245</v>
      </c>
      <c r="O18" s="6">
        <f t="shared" si="12"/>
        <v>2.9838400117690158</v>
      </c>
      <c r="P18" s="3">
        <f t="shared" si="13"/>
        <v>0.33513861200860245</v>
      </c>
      <c r="Q18" s="3">
        <f>IF(ISNUMBER(P18),SUMIF(A:A,A18,P:P),"")</f>
        <v>1</v>
      </c>
      <c r="R18" s="3">
        <f t="shared" si="14"/>
        <v>0.33513861200860245</v>
      </c>
      <c r="S18" s="7">
        <f t="shared" si="15"/>
        <v>2.9838400117690158</v>
      </c>
    </row>
    <row r="19" spans="1:19" x14ac:dyDescent="0.3">
      <c r="A19" s="1">
        <v>11</v>
      </c>
      <c r="B19" s="5">
        <v>0.6875</v>
      </c>
      <c r="C19" s="1" t="s">
        <v>19</v>
      </c>
      <c r="D19" s="1">
        <v>7</v>
      </c>
      <c r="E19" s="1">
        <v>2</v>
      </c>
      <c r="F19" s="1" t="s">
        <v>28</v>
      </c>
      <c r="G19" s="1">
        <v>59.15</v>
      </c>
      <c r="H19" s="1">
        <f>1+COUNTIFS(A:A,A19,G:G,"&gt;"&amp;G19)</f>
        <v>2</v>
      </c>
      <c r="I19" s="2">
        <f>AVERAGEIF(A:A,A19,G:G)</f>
        <v>57.27</v>
      </c>
      <c r="J19" s="2">
        <f t="shared" si="8"/>
        <v>1.8799999999999955</v>
      </c>
      <c r="K19" s="2">
        <f t="shared" si="9"/>
        <v>91.88</v>
      </c>
      <c r="L19" s="2">
        <f t="shared" si="10"/>
        <v>247.84411996070799</v>
      </c>
      <c r="M19" s="2">
        <f>SUMIF(A:A,A19,L:L)</f>
        <v>1454.1998041618731</v>
      </c>
      <c r="N19" s="3">
        <f t="shared" si="11"/>
        <v>0.1704333333365787</v>
      </c>
      <c r="O19" s="6">
        <f t="shared" si="12"/>
        <v>5.8673968314939851</v>
      </c>
      <c r="P19" s="3">
        <f t="shared" si="13"/>
        <v>0.1704333333365787</v>
      </c>
      <c r="Q19" s="3">
        <f>IF(ISNUMBER(P19),SUMIF(A:A,A19,P:P),"")</f>
        <v>1</v>
      </c>
      <c r="R19" s="3">
        <f t="shared" si="14"/>
        <v>0.1704333333365787</v>
      </c>
      <c r="S19" s="7">
        <f t="shared" si="15"/>
        <v>5.8673968314939851</v>
      </c>
    </row>
    <row r="20" spans="1:19" x14ac:dyDescent="0.3">
      <c r="A20" s="1">
        <v>11</v>
      </c>
      <c r="B20" s="5">
        <v>0.6875</v>
      </c>
      <c r="C20" s="1" t="s">
        <v>19</v>
      </c>
      <c r="D20" s="1">
        <v>7</v>
      </c>
      <c r="E20" s="1">
        <v>3</v>
      </c>
      <c r="F20" s="1" t="s">
        <v>29</v>
      </c>
      <c r="G20" s="1">
        <v>56.96</v>
      </c>
      <c r="H20" s="1">
        <f>1+COUNTIFS(A:A,A20,G:G,"&gt;"&amp;G20)</f>
        <v>3</v>
      </c>
      <c r="I20" s="2">
        <f>AVERAGEIF(A:A,A20,G:G)</f>
        <v>57.27</v>
      </c>
      <c r="J20" s="2">
        <f t="shared" si="8"/>
        <v>-0.31000000000000227</v>
      </c>
      <c r="K20" s="2">
        <f t="shared" si="9"/>
        <v>89.69</v>
      </c>
      <c r="L20" s="2">
        <f t="shared" si="10"/>
        <v>217.32631939165844</v>
      </c>
      <c r="M20" s="2">
        <f>SUMIF(A:A,A20,L:L)</f>
        <v>1454.1998041618731</v>
      </c>
      <c r="N20" s="3">
        <f t="shared" si="11"/>
        <v>0.14944735845079712</v>
      </c>
      <c r="O20" s="6">
        <f t="shared" si="12"/>
        <v>6.6913193405772518</v>
      </c>
      <c r="P20" s="3">
        <f t="shared" si="13"/>
        <v>0.14944735845079712</v>
      </c>
      <c r="Q20" s="3">
        <f>IF(ISNUMBER(P20),SUMIF(A:A,A20,P:P),"")</f>
        <v>1</v>
      </c>
      <c r="R20" s="3">
        <f t="shared" si="14"/>
        <v>0.14944735845079712</v>
      </c>
      <c r="S20" s="7">
        <f t="shared" si="15"/>
        <v>6.6913193405772518</v>
      </c>
    </row>
    <row r="21" spans="1:19" x14ac:dyDescent="0.3">
      <c r="A21" s="1">
        <v>11</v>
      </c>
      <c r="B21" s="5">
        <v>0.6875</v>
      </c>
      <c r="C21" s="1" t="s">
        <v>19</v>
      </c>
      <c r="D21" s="1">
        <v>7</v>
      </c>
      <c r="E21" s="1">
        <v>10</v>
      </c>
      <c r="F21" s="1" t="s">
        <v>32</v>
      </c>
      <c r="G21" s="1">
        <v>55.54</v>
      </c>
      <c r="H21" s="1">
        <f>1+COUNTIFS(A:A,A21,G:G,"&gt;"&amp;G21)</f>
        <v>4</v>
      </c>
      <c r="I21" s="2">
        <f>AVERAGEIF(A:A,A21,G:G)</f>
        <v>57.27</v>
      </c>
      <c r="J21" s="2">
        <f t="shared" si="8"/>
        <v>-1.730000000000004</v>
      </c>
      <c r="K21" s="2">
        <f t="shared" si="9"/>
        <v>88.27</v>
      </c>
      <c r="L21" s="2">
        <f t="shared" si="10"/>
        <v>199.57697469824777</v>
      </c>
      <c r="M21" s="2">
        <f>SUMIF(A:A,A21,L:L)</f>
        <v>1454.1998041618731</v>
      </c>
      <c r="N21" s="3">
        <f t="shared" si="11"/>
        <v>0.13724178350668517</v>
      </c>
      <c r="O21" s="6">
        <f t="shared" si="12"/>
        <v>7.2864107012372736</v>
      </c>
      <c r="P21" s="3">
        <f t="shared" si="13"/>
        <v>0.13724178350668517</v>
      </c>
      <c r="Q21" s="3">
        <f>IF(ISNUMBER(P21),SUMIF(A:A,A21,P:P),"")</f>
        <v>1</v>
      </c>
      <c r="R21" s="3">
        <f t="shared" si="14"/>
        <v>0.13724178350668517</v>
      </c>
      <c r="S21" s="7">
        <f t="shared" si="15"/>
        <v>7.2864107012372736</v>
      </c>
    </row>
    <row r="22" spans="1:19" x14ac:dyDescent="0.3">
      <c r="A22" s="1">
        <v>11</v>
      </c>
      <c r="B22" s="5">
        <v>0.6875</v>
      </c>
      <c r="C22" s="1" t="s">
        <v>19</v>
      </c>
      <c r="D22" s="1">
        <v>7</v>
      </c>
      <c r="E22" s="1">
        <v>5</v>
      </c>
      <c r="F22" s="1" t="s">
        <v>30</v>
      </c>
      <c r="G22" s="1">
        <v>52.79</v>
      </c>
      <c r="H22" s="1">
        <f>1+COUNTIFS(A:A,A22,G:G,"&gt;"&amp;G22)</f>
        <v>5</v>
      </c>
      <c r="I22" s="2">
        <f>AVERAGEIF(A:A,A22,G:G)</f>
        <v>57.27</v>
      </c>
      <c r="J22" s="2">
        <f t="shared" si="8"/>
        <v>-4.480000000000004</v>
      </c>
      <c r="K22" s="2">
        <f t="shared" si="9"/>
        <v>85.52</v>
      </c>
      <c r="L22" s="2">
        <f t="shared" si="10"/>
        <v>169.22006032755755</v>
      </c>
      <c r="M22" s="2">
        <f>SUMIF(A:A,A22,L:L)</f>
        <v>1454.1998041618731</v>
      </c>
      <c r="N22" s="3">
        <f t="shared" si="11"/>
        <v>0.11636644417311512</v>
      </c>
      <c r="O22" s="6">
        <f t="shared" si="12"/>
        <v>8.5935426411442783</v>
      </c>
      <c r="P22" s="3">
        <f t="shared" si="13"/>
        <v>0.11636644417311512</v>
      </c>
      <c r="Q22" s="3">
        <f>IF(ISNUMBER(P22),SUMIF(A:A,A22,P:P),"")</f>
        <v>1</v>
      </c>
      <c r="R22" s="3">
        <f t="shared" si="14"/>
        <v>0.11636644417311512</v>
      </c>
      <c r="S22" s="7">
        <f t="shared" si="15"/>
        <v>8.5935426411442783</v>
      </c>
    </row>
    <row r="23" spans="1:19" x14ac:dyDescent="0.3">
      <c r="A23" s="1">
        <v>11</v>
      </c>
      <c r="B23" s="5">
        <v>0.6875</v>
      </c>
      <c r="C23" s="1" t="s">
        <v>19</v>
      </c>
      <c r="D23" s="1">
        <v>7</v>
      </c>
      <c r="E23" s="1">
        <v>11</v>
      </c>
      <c r="F23" s="1" t="s">
        <v>33</v>
      </c>
      <c r="G23" s="1">
        <v>48.76</v>
      </c>
      <c r="H23" s="1">
        <f>1+COUNTIFS(A:A,A23,G:G,"&gt;"&amp;G23)</f>
        <v>6</v>
      </c>
      <c r="I23" s="2">
        <f>AVERAGEIF(A:A,A23,G:G)</f>
        <v>57.27</v>
      </c>
      <c r="J23" s="2">
        <f t="shared" si="8"/>
        <v>-8.5100000000000051</v>
      </c>
      <c r="K23" s="2">
        <f t="shared" si="9"/>
        <v>81.489999999999995</v>
      </c>
      <c r="L23" s="2">
        <f t="shared" si="10"/>
        <v>132.87382583370965</v>
      </c>
      <c r="M23" s="2">
        <f>SUMIF(A:A,A23,L:L)</f>
        <v>1454.1998041618731</v>
      </c>
      <c r="N23" s="3">
        <f t="shared" si="11"/>
        <v>9.1372468524221387E-2</v>
      </c>
      <c r="O23" s="6">
        <f t="shared" si="12"/>
        <v>10.94421564997903</v>
      </c>
      <c r="P23" s="3">
        <f t="shared" si="13"/>
        <v>9.1372468524221387E-2</v>
      </c>
      <c r="Q23" s="3">
        <f>IF(ISNUMBER(P23),SUMIF(A:A,A23,P:P),"")</f>
        <v>1</v>
      </c>
      <c r="R23" s="3">
        <f t="shared" si="14"/>
        <v>9.1372468524221387E-2</v>
      </c>
      <c r="S23" s="7">
        <f t="shared" si="15"/>
        <v>10.94421564997903</v>
      </c>
    </row>
    <row r="24" spans="1:19" x14ac:dyDescent="0.3">
      <c r="A24" s="1"/>
      <c r="B24" s="5"/>
      <c r="C24" s="1"/>
      <c r="D24" s="1"/>
      <c r="E24" s="1"/>
      <c r="F24" s="1"/>
      <c r="G24" s="1"/>
      <c r="H24" s="1"/>
      <c r="I24" s="2"/>
      <c r="J24" s="2"/>
      <c r="K24" s="2"/>
      <c r="L24" s="2"/>
      <c r="M24" s="2"/>
      <c r="N24" s="3"/>
      <c r="O24" s="6"/>
      <c r="P24" s="3"/>
      <c r="Q24" s="3"/>
      <c r="R24" s="3"/>
      <c r="S24" s="7"/>
    </row>
    <row r="25" spans="1:19" x14ac:dyDescent="0.3">
      <c r="A25" s="1">
        <v>14</v>
      </c>
      <c r="B25" s="5">
        <v>0.70833333333333337</v>
      </c>
      <c r="C25" s="1" t="s">
        <v>19</v>
      </c>
      <c r="D25" s="1">
        <v>8</v>
      </c>
      <c r="E25" s="1">
        <v>7</v>
      </c>
      <c r="F25" s="1" t="s">
        <v>37</v>
      </c>
      <c r="G25" s="1">
        <v>67.61</v>
      </c>
      <c r="H25" s="1">
        <f>1+COUNTIFS(A:A,A25,G:G,"&gt;"&amp;G25)</f>
        <v>1</v>
      </c>
      <c r="I25" s="2">
        <f>AVERAGEIF(A:A,A25,G:G)</f>
        <v>52.949999999999996</v>
      </c>
      <c r="J25" s="2">
        <f t="shared" ref="J25:J30" si="16">G25-I25</f>
        <v>14.660000000000004</v>
      </c>
      <c r="K25" s="2">
        <f t="shared" ref="K25:K30" si="17">90+J25</f>
        <v>104.66</v>
      </c>
      <c r="L25" s="2">
        <f t="shared" ref="L25:L30" si="18">EXP(0.06*K25)</f>
        <v>533.57519105743063</v>
      </c>
      <c r="M25" s="2">
        <f>SUMIF(A:A,A25,L:L)</f>
        <v>1616.2028287185879</v>
      </c>
      <c r="N25" s="3">
        <f t="shared" ref="N25:N30" si="19">L25/M25</f>
        <v>0.33014123077638569</v>
      </c>
      <c r="O25" s="6">
        <f t="shared" ref="O25:O30" si="20">1/N25</f>
        <v>3.0290067000971752</v>
      </c>
      <c r="P25" s="3">
        <f t="shared" ref="P25:P30" si="21">IF(O25&gt;21,"",N25)</f>
        <v>0.33014123077638569</v>
      </c>
      <c r="Q25" s="3">
        <f>IF(ISNUMBER(P25),SUMIF(A:A,A25,P:P),"")</f>
        <v>0.95280346235338709</v>
      </c>
      <c r="R25" s="3">
        <f t="shared" ref="R25:R30" si="22">IFERROR(P25*(1/Q25),"")</f>
        <v>0.34649457503119246</v>
      </c>
      <c r="S25" s="7">
        <f t="shared" ref="S25:S30" si="23">IFERROR(1/R25,"")</f>
        <v>2.8860480713441965</v>
      </c>
    </row>
    <row r="26" spans="1:19" x14ac:dyDescent="0.3">
      <c r="A26" s="1">
        <v>14</v>
      </c>
      <c r="B26" s="5">
        <v>0.70833333333333337</v>
      </c>
      <c r="C26" s="1" t="s">
        <v>19</v>
      </c>
      <c r="D26" s="1">
        <v>8</v>
      </c>
      <c r="E26" s="1">
        <v>2</v>
      </c>
      <c r="F26" s="1" t="s">
        <v>34</v>
      </c>
      <c r="G26" s="1">
        <v>64.540000000000006</v>
      </c>
      <c r="H26" s="1">
        <f>1+COUNTIFS(A:A,A26,G:G,"&gt;"&amp;G26)</f>
        <v>2</v>
      </c>
      <c r="I26" s="2">
        <f>AVERAGEIF(A:A,A26,G:G)</f>
        <v>52.949999999999996</v>
      </c>
      <c r="J26" s="2">
        <f t="shared" si="16"/>
        <v>11.590000000000011</v>
      </c>
      <c r="K26" s="2">
        <f t="shared" si="17"/>
        <v>101.59</v>
      </c>
      <c r="L26" s="2">
        <f t="shared" si="18"/>
        <v>443.81153429065301</v>
      </c>
      <c r="M26" s="2">
        <f>SUMIF(A:A,A26,L:L)</f>
        <v>1616.2028287185879</v>
      </c>
      <c r="N26" s="3">
        <f t="shared" si="19"/>
        <v>0.27460138443299875</v>
      </c>
      <c r="O26" s="6">
        <f t="shared" si="20"/>
        <v>3.6416422374010082</v>
      </c>
      <c r="P26" s="3">
        <f t="shared" si="21"/>
        <v>0.27460138443299875</v>
      </c>
      <c r="Q26" s="3">
        <f>IF(ISNUMBER(P26),SUMIF(A:A,A26,P:P),"")</f>
        <v>0.95280346235338709</v>
      </c>
      <c r="R26" s="3">
        <f t="shared" si="22"/>
        <v>0.28820359631643666</v>
      </c>
      <c r="S26" s="7">
        <f t="shared" si="23"/>
        <v>3.4697693324480161</v>
      </c>
    </row>
    <row r="27" spans="1:19" x14ac:dyDescent="0.3">
      <c r="A27" s="1">
        <v>14</v>
      </c>
      <c r="B27" s="5">
        <v>0.70833333333333337</v>
      </c>
      <c r="C27" s="1" t="s">
        <v>19</v>
      </c>
      <c r="D27" s="1">
        <v>8</v>
      </c>
      <c r="E27" s="1">
        <v>6</v>
      </c>
      <c r="F27" s="1" t="s">
        <v>36</v>
      </c>
      <c r="G27" s="1">
        <v>52.07</v>
      </c>
      <c r="H27" s="1">
        <f>1+COUNTIFS(A:A,A27,G:G,"&gt;"&amp;G27)</f>
        <v>3</v>
      </c>
      <c r="I27" s="2">
        <f>AVERAGEIF(A:A,A27,G:G)</f>
        <v>52.949999999999996</v>
      </c>
      <c r="J27" s="2">
        <f t="shared" si="16"/>
        <v>-0.87999999999999545</v>
      </c>
      <c r="K27" s="2">
        <f t="shared" si="17"/>
        <v>89.12</v>
      </c>
      <c r="L27" s="2">
        <f t="shared" si="18"/>
        <v>210.0194194471689</v>
      </c>
      <c r="M27" s="2">
        <f>SUMIF(A:A,A27,L:L)</f>
        <v>1616.2028287185879</v>
      </c>
      <c r="N27" s="3">
        <f t="shared" si="19"/>
        <v>0.12994620211974481</v>
      </c>
      <c r="O27" s="6">
        <f t="shared" si="20"/>
        <v>7.695492316724307</v>
      </c>
      <c r="P27" s="3">
        <f t="shared" si="21"/>
        <v>0.12994620211974481</v>
      </c>
      <c r="Q27" s="3">
        <f>IF(ISNUMBER(P27),SUMIF(A:A,A27,P:P),"")</f>
        <v>0.95280346235338709</v>
      </c>
      <c r="R27" s="3">
        <f t="shared" si="22"/>
        <v>0.13638300788578453</v>
      </c>
      <c r="S27" s="7">
        <f t="shared" si="23"/>
        <v>7.3322917238888081</v>
      </c>
    </row>
    <row r="28" spans="1:19" x14ac:dyDescent="0.3">
      <c r="A28" s="1">
        <v>14</v>
      </c>
      <c r="B28" s="5">
        <v>0.70833333333333337</v>
      </c>
      <c r="C28" s="1" t="s">
        <v>19</v>
      </c>
      <c r="D28" s="1">
        <v>8</v>
      </c>
      <c r="E28" s="1">
        <v>14</v>
      </c>
      <c r="F28" s="1" t="s">
        <v>39</v>
      </c>
      <c r="G28" s="1">
        <v>49.52</v>
      </c>
      <c r="H28" s="1">
        <f>1+COUNTIFS(A:A,A28,G:G,"&gt;"&amp;G28)</f>
        <v>4</v>
      </c>
      <c r="I28" s="2">
        <f>AVERAGEIF(A:A,A28,G:G)</f>
        <v>52.949999999999996</v>
      </c>
      <c r="J28" s="2">
        <f t="shared" si="16"/>
        <v>-3.4299999999999926</v>
      </c>
      <c r="K28" s="2">
        <f t="shared" si="17"/>
        <v>86.570000000000007</v>
      </c>
      <c r="L28" s="2">
        <f t="shared" si="18"/>
        <v>180.22390598518956</v>
      </c>
      <c r="M28" s="2">
        <f>SUMIF(A:A,A28,L:L)</f>
        <v>1616.2028287185879</v>
      </c>
      <c r="N28" s="3">
        <f t="shared" si="19"/>
        <v>0.11151069827546381</v>
      </c>
      <c r="O28" s="6">
        <f t="shared" si="20"/>
        <v>8.9677494219407503</v>
      </c>
      <c r="P28" s="3">
        <f t="shared" si="21"/>
        <v>0.11151069827546381</v>
      </c>
      <c r="Q28" s="3">
        <f>IF(ISNUMBER(P28),SUMIF(A:A,A28,P:P),"")</f>
        <v>0.95280346235338709</v>
      </c>
      <c r="R28" s="3">
        <f t="shared" si="22"/>
        <v>0.11703431261682946</v>
      </c>
      <c r="S28" s="7">
        <f t="shared" si="23"/>
        <v>8.5445026987427326</v>
      </c>
    </row>
    <row r="29" spans="1:19" x14ac:dyDescent="0.3">
      <c r="A29" s="1">
        <v>14</v>
      </c>
      <c r="B29" s="5">
        <v>0.70833333333333337</v>
      </c>
      <c r="C29" s="1" t="s">
        <v>19</v>
      </c>
      <c r="D29" s="1">
        <v>8</v>
      </c>
      <c r="E29" s="1">
        <v>5</v>
      </c>
      <c r="F29" s="1" t="s">
        <v>35</v>
      </c>
      <c r="G29" s="1">
        <v>48.77</v>
      </c>
      <c r="H29" s="1">
        <f>1+COUNTIFS(A:A,A29,G:G,"&gt;"&amp;G29)</f>
        <v>5</v>
      </c>
      <c r="I29" s="2">
        <f>AVERAGEIF(A:A,A29,G:G)</f>
        <v>52.949999999999996</v>
      </c>
      <c r="J29" s="2">
        <f t="shared" si="16"/>
        <v>-4.1799999999999926</v>
      </c>
      <c r="K29" s="2">
        <f t="shared" si="17"/>
        <v>85.820000000000007</v>
      </c>
      <c r="L29" s="2">
        <f t="shared" si="18"/>
        <v>172.29360028796657</v>
      </c>
      <c r="M29" s="2">
        <f>SUMIF(A:A,A29,L:L)</f>
        <v>1616.2028287185879</v>
      </c>
      <c r="N29" s="3">
        <f t="shared" si="19"/>
        <v>0.106603946748794</v>
      </c>
      <c r="O29" s="6">
        <f t="shared" si="20"/>
        <v>9.3805157360303166</v>
      </c>
      <c r="P29" s="3">
        <f t="shared" si="21"/>
        <v>0.106603946748794</v>
      </c>
      <c r="Q29" s="3">
        <f>IF(ISNUMBER(P29),SUMIF(A:A,A29,P:P),"")</f>
        <v>0.95280346235338709</v>
      </c>
      <c r="R29" s="3">
        <f t="shared" si="22"/>
        <v>0.11188450814975676</v>
      </c>
      <c r="S29" s="7">
        <f t="shared" si="23"/>
        <v>8.9377878719501176</v>
      </c>
    </row>
    <row r="30" spans="1:19" x14ac:dyDescent="0.3">
      <c r="A30" s="1">
        <v>14</v>
      </c>
      <c r="B30" s="5">
        <v>0.70833333333333337</v>
      </c>
      <c r="C30" s="1" t="s">
        <v>19</v>
      </c>
      <c r="D30" s="1">
        <v>8</v>
      </c>
      <c r="E30" s="1">
        <v>13</v>
      </c>
      <c r="F30" s="1" t="s">
        <v>38</v>
      </c>
      <c r="G30" s="1">
        <v>35.19</v>
      </c>
      <c r="H30" s="1">
        <f>1+COUNTIFS(A:A,A30,G:G,"&gt;"&amp;G30)</f>
        <v>6</v>
      </c>
      <c r="I30" s="2">
        <f>AVERAGEIF(A:A,A30,G:G)</f>
        <v>52.949999999999996</v>
      </c>
      <c r="J30" s="2">
        <f t="shared" si="16"/>
        <v>-17.759999999999998</v>
      </c>
      <c r="K30" s="2">
        <f t="shared" si="17"/>
        <v>72.240000000000009</v>
      </c>
      <c r="L30" s="2">
        <f t="shared" si="18"/>
        <v>76.279177650179193</v>
      </c>
      <c r="M30" s="2">
        <f>SUMIF(A:A,A30,L:L)</f>
        <v>1616.2028287185879</v>
      </c>
      <c r="N30" s="3">
        <f t="shared" si="19"/>
        <v>4.7196537646612961E-2</v>
      </c>
      <c r="O30" s="6">
        <f t="shared" si="20"/>
        <v>21.187994922160662</v>
      </c>
      <c r="P30" s="3" t="str">
        <f t="shared" si="21"/>
        <v/>
      </c>
      <c r="Q30" s="3" t="str">
        <f>IF(ISNUMBER(P30),SUMIF(A:A,A30,P:P),"")</f>
        <v/>
      </c>
      <c r="R30" s="3" t="str">
        <f t="shared" si="22"/>
        <v/>
      </c>
      <c r="S30" s="7" t="str">
        <f t="shared" si="23"/>
        <v/>
      </c>
    </row>
  </sheetData>
  <autoFilter ref="A7:S16" xr:uid="{00000000-0009-0000-0000-000000000000}"/>
  <sortState xmlns:xlrd2="http://schemas.microsoft.com/office/spreadsheetml/2017/richdata2" ref="A8:T30">
    <sortCondition ref="B8:B30"/>
    <sortCondition ref="H8:H30"/>
  </sortState>
  <conditionalFormatting sqref="H1:H1048576">
    <cfRule type="colorScale" priority="3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S1:S1048576">
    <cfRule type="colorScale" priority="29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G18:G1048576 G7">
    <cfRule type="colorScale" priority="2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8:G17">
    <cfRule type="colorScale" priority="2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8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DBR 25102022 - Warracknabeal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Lani</cp:lastModifiedBy>
  <cp:revision/>
  <cp:lastPrinted>2022-10-24T21:55:51Z</cp:lastPrinted>
  <dcterms:created xsi:type="dcterms:W3CDTF">2016-03-11T05:58:01Z</dcterms:created>
  <dcterms:modified xsi:type="dcterms:W3CDTF">2022-10-24T21:57:35Z</dcterms:modified>
</cp:coreProperties>
</file>